
<file path=[Content_Types].xml><?xml version="1.0" encoding="utf-8"?>
<Types xmlns="http://schemas.openxmlformats.org/package/2006/content-types">
  <Default Extension="xml" ContentType="application/xml"/>
  <Default Extension="rels" ContentType="application/vnd.openxmlformats-package.relationships+xml"/>
  <Default Extension="jpe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4" Type="http://schemas.openxmlformats.org/officeDocument/2006/relationships/extended-properties" Target="docProps/app.xml"/><Relationship Id="rId1" Type="http://schemas.openxmlformats.org/officeDocument/2006/relationships/officeDocument" Target="xl/workbook.xml"/><Relationship Id="rId2" Type="http://schemas.openxmlformats.org/package/2006/relationships/metadata/thumbnail" Target="docProps/thumbnail.jpeg"/></Relationships>
</file>

<file path=xl/workbook.xml><?xml version="1.0" encoding="utf-8"?>
<workbook xmlns="http://schemas.openxmlformats.org/spreadsheetml/2006/main" xmlns:r="http://schemas.openxmlformats.org/officeDocument/2006/relationships">
  <fileVersion appName="xl" lastEdited="5" lowestEdited="5" rupBuild="28331"/>
  <workbookPr showInkAnnotation="0" autoCompressPictures="0"/>
  <bookViews>
    <workbookView xWindow="360" yWindow="0" windowWidth="21780" windowHeight="15840" tabRatio="500" activeTab="1"/>
  </bookViews>
  <sheets>
    <sheet name="Sheet1" sheetId="1" r:id="rId1"/>
    <sheet name="final" sheetId="2" r:id="rId2"/>
  </sheets>
  <calcPr calcId="140000" concurrentCalc="0"/>
  <extLst>
    <ext xmlns:mx="http://schemas.microsoft.com/office/mac/excel/2008/main" uri="{7523E5D3-25F3-A5E0-1632-64F254C22452}">
      <mx:ArchID Flags="2"/>
    </ext>
  </extLst>
</workbook>
</file>

<file path=xl/calcChain.xml><?xml version="1.0" encoding="utf-8"?>
<calcChain xmlns="http://schemas.openxmlformats.org/spreadsheetml/2006/main">
  <c r="F173" i="2" l="1"/>
  <c r="C172" i="2"/>
  <c r="F170" i="2"/>
  <c r="F171" i="2"/>
  <c r="F172" i="2"/>
  <c r="F169" i="2"/>
  <c r="G163" i="2"/>
  <c r="F163" i="2"/>
  <c r="E163" i="2"/>
  <c r="E161" i="2"/>
  <c r="E158" i="2"/>
  <c r="D159" i="2"/>
  <c r="D160" i="2"/>
  <c r="D161" i="2"/>
  <c r="D162" i="2"/>
  <c r="D158" i="2"/>
  <c r="C163" i="2"/>
  <c r="B144" i="2"/>
  <c r="B142" i="2"/>
  <c r="B143" i="2"/>
  <c r="B139" i="2"/>
  <c r="D141" i="2"/>
  <c r="C141" i="2"/>
  <c r="B141" i="2"/>
  <c r="C140" i="2"/>
  <c r="D140" i="2"/>
  <c r="B140" i="2"/>
  <c r="C139" i="2"/>
  <c r="D132" i="2"/>
  <c r="E127" i="2"/>
  <c r="E125" i="2"/>
  <c r="E126" i="2"/>
  <c r="E124" i="2"/>
  <c r="C126" i="2"/>
  <c r="B119" i="2"/>
  <c r="C91" i="2"/>
  <c r="B84" i="2"/>
  <c r="C66" i="2"/>
  <c r="B60" i="2"/>
  <c r="D52" i="2"/>
  <c r="B44" i="2"/>
  <c r="C41" i="2"/>
  <c r="B46" i="2"/>
  <c r="B47" i="2"/>
  <c r="G35" i="2"/>
  <c r="F37" i="2"/>
  <c r="G37" i="2"/>
  <c r="D28" i="2"/>
  <c r="D20" i="2"/>
  <c r="E255" i="1"/>
  <c r="F255" i="1"/>
  <c r="E256" i="1"/>
  <c r="F256" i="1"/>
  <c r="E257" i="1"/>
  <c r="F257" i="1"/>
  <c r="F258" i="1"/>
  <c r="E247" i="1"/>
  <c r="E248" i="1"/>
  <c r="E249" i="1"/>
  <c r="C250" i="1"/>
  <c r="E250" i="1"/>
  <c r="E251" i="1"/>
  <c r="D214" i="1"/>
  <c r="D210" i="1"/>
  <c r="E202" i="1"/>
  <c r="C204" i="1"/>
  <c r="E204" i="1"/>
  <c r="E203" i="1"/>
  <c r="E205" i="1"/>
  <c r="C197" i="1"/>
  <c r="D192" i="1"/>
  <c r="D193" i="1"/>
  <c r="D194" i="1"/>
  <c r="D195" i="1"/>
  <c r="D196" i="1"/>
  <c r="D197" i="1"/>
  <c r="D198" i="1"/>
  <c r="C167" i="1"/>
  <c r="C181" i="1"/>
  <c r="C180" i="1"/>
  <c r="C150" i="1"/>
  <c r="D143" i="1"/>
  <c r="D138" i="1"/>
  <c r="D140" i="1"/>
  <c r="D139" i="1"/>
  <c r="D142" i="1"/>
  <c r="D135" i="1"/>
  <c r="D137" i="1"/>
  <c r="E135" i="1"/>
  <c r="C131" i="1"/>
  <c r="C130" i="1"/>
  <c r="D124" i="1"/>
  <c r="D125" i="1"/>
  <c r="D127" i="1"/>
  <c r="D128" i="1"/>
  <c r="D119" i="1"/>
  <c r="C108" i="1"/>
  <c r="C105" i="1"/>
  <c r="C103" i="1"/>
  <c r="C98" i="1"/>
  <c r="E74" i="1"/>
  <c r="E73" i="1"/>
  <c r="E77" i="1"/>
  <c r="E60" i="1"/>
  <c r="E63" i="1"/>
  <c r="E64" i="1"/>
  <c r="E56" i="1"/>
  <c r="E54" i="1"/>
  <c r="E58" i="1"/>
  <c r="C49" i="1"/>
  <c r="C51" i="1"/>
  <c r="C52" i="1"/>
  <c r="D46" i="1"/>
  <c r="E42" i="1"/>
  <c r="E38" i="1"/>
  <c r="E85" i="1"/>
  <c r="D87" i="1"/>
  <c r="E87" i="1"/>
  <c r="E79" i="1"/>
  <c r="D82" i="1"/>
  <c r="E70" i="1"/>
  <c r="D70" i="1"/>
  <c r="E28" i="1"/>
  <c r="E29" i="1"/>
  <c r="D30" i="1"/>
  <c r="E82" i="1"/>
  <c r="D24" i="1"/>
</calcChain>
</file>

<file path=xl/sharedStrings.xml><?xml version="1.0" encoding="utf-8"?>
<sst xmlns="http://schemas.openxmlformats.org/spreadsheetml/2006/main" count="466" uniqueCount="364">
  <si>
    <t>FINC 340 Quizzes</t>
  </si>
  <si>
    <t>Financial intermediaries are extremely important part of financial word because small investors cannot efficiently _________.</t>
  </si>
  <si>
    <t>E. create diversified portfolios, collect and use information, and manage their portfolios</t>
  </si>
  <si>
    <t>Financial institutions that specialize in assisting corporations in the process of issuing new securities are called _______. </t>
  </si>
  <si>
    <t>C. Investment bankers</t>
  </si>
  <si>
    <t>An intermediary that holds and invests funds for many investors is called a/an ______.</t>
  </si>
  <si>
    <t>D. investment company</t>
  </si>
  <si>
    <t>Security selection refers to the ________. </t>
  </si>
  <si>
    <t>a. choice of specific securities within each asset class</t>
  </si>
  <si>
    <t>The ______________ is the most important auction market</t>
  </si>
  <si>
    <t>A. NYSE</t>
  </si>
  <si>
    <t>Underwriting is one of the most important services provided by _____. </t>
  </si>
  <si>
    <t>A. investment bankers</t>
  </si>
  <si>
    <t>You would like to open a brokerage account in which purchases can be made using credit. This type of account is called? </t>
  </si>
  <si>
    <t>A. Margin Account</t>
  </si>
  <si>
    <t>Tim Dolan decided to open a margin account with a local broker to purchase shares of stock. The house maintenance margin requirement for his account is set by: </t>
  </si>
  <si>
    <t>E. His broker</t>
  </si>
  <si>
    <t>The absolute minimum initial margin requirement is set by the: </t>
  </si>
  <si>
    <t>D. Federal Reserve</t>
  </si>
  <si>
    <t>When your equity position in a margin account is less than the required level, your broker will issue a: </t>
  </si>
  <si>
    <t>B. Margin call</t>
  </si>
  <si>
    <t>You placed the order to buy or sell a security at the current market price. This  is a ______________. </t>
  </si>
  <si>
    <t>A. Market order</t>
  </si>
  <si>
    <t>The difference between the price at which a dealer is willing to buy, and the price at which a dealer is willing to sell, is called the _________. </t>
  </si>
  <si>
    <t>A. bid-ask spread</t>
  </si>
  <si>
    <t>As a result of long position on a stock in a cash account the maximum loss you can incur is____________________? </t>
  </si>
  <si>
    <t>D. The value of your intial investment</t>
  </si>
  <si>
    <t>The Dow Jones Industrial Average is calculated as _________. </t>
  </si>
  <si>
    <t>D. The sum of th eprices of 30 large "blue-chip" stocks and dividing by a divisor adjusted for stock splits and large stock dividends</t>
  </si>
  <si>
    <t>Derivatives can be strictly defined as</t>
  </si>
  <si>
    <t>B. Contracts that may lead to profits and losses</t>
  </si>
  <si>
    <t>Quiz 2</t>
  </si>
  <si>
    <t>fv</t>
  </si>
  <si>
    <t>pv</t>
  </si>
  <si>
    <t>n</t>
  </si>
  <si>
    <t>fv=pv(1+r/n)^nt</t>
  </si>
  <si>
    <t xml:space="preserve"> =rate(n,pmt,pv,fv,0)</t>
  </si>
  <si>
    <t>r</t>
  </si>
  <si>
    <t>Compounded</t>
  </si>
  <si>
    <t>?</t>
  </si>
  <si>
    <t>Which one of the following is an example money market instrument? </t>
  </si>
  <si>
    <t>A. Debt issued by the government or a corporation that matures within one year</t>
  </si>
  <si>
    <t>Which of the following statements are correct?</t>
  </si>
  <si>
    <t>D. The bid price is the price at which the dealer is willing to buy the bill</t>
  </si>
  <si>
    <t>The price that investor pays to buy an option contract is called the:</t>
  </si>
  <si>
    <t>The amount of money per share that investor will receive when a put option on stock is exercised is called. </t>
  </si>
  <si>
    <t>E. strike price</t>
  </si>
  <si>
    <t>Calculate the discount yield for the following T-bill:</t>
  </si>
  <si>
    <t xml:space="preserve">security </t>
  </si>
  <si>
    <t>T bill</t>
  </si>
  <si>
    <t xml:space="preserve">Maturity </t>
  </si>
  <si>
    <t>Price per $100</t>
  </si>
  <si>
    <t>discount yield</t>
  </si>
  <si>
    <t>Calculate the investment yield for the following T-bill:</t>
  </si>
  <si>
    <t>Security</t>
  </si>
  <si>
    <t>Maturity</t>
  </si>
  <si>
    <t>$100-price paid/$100 x 360/days to maturity</t>
  </si>
  <si>
    <t>$100-price paid/price paid x 365/days to maturity</t>
  </si>
  <si>
    <t>A fixed-income security is defined as:</t>
  </si>
  <si>
    <t>a. a long-term debt obligation that pays scheduled payments that are fixed in amount.</t>
  </si>
  <si>
    <t>($100-p/p)*(365/days)=stated rate</t>
  </si>
  <si>
    <t>investment rate price</t>
  </si>
  <si>
    <t>discount basis yield</t>
  </si>
  <si>
    <t>nper</t>
  </si>
  <si>
    <t>monthly</t>
  </si>
  <si>
    <t>compounding</t>
  </si>
  <si>
    <t>pmt</t>
  </si>
  <si>
    <t>Which would you prefer to have: $10,000 today in a lump-sum or $1,000 per year for 13 years beginning one year from now, if the interest rates are:</t>
  </si>
  <si>
    <t>rate</t>
  </si>
  <si>
    <t>B. option premium</t>
  </si>
  <si>
    <t>B. give me the lump sum today</t>
  </si>
  <si>
    <t>versus 10000</t>
  </si>
  <si>
    <t>Although you have made no deposits or withdrawals from your emergency fund savings account at the bank, the account balance has risen during the past 10 years from $13,426 to $24,971. What has been the compound annual interest rate that the bank has been crediting to your account?</t>
  </si>
  <si>
    <t>You deposit $9,244 in a 12 year CD that offers a 4.49% rate of return compounded daily. What will the CD be worth at maturity?</t>
  </si>
  <si>
    <t>Which of the following is not an example of  money market instrument? </t>
  </si>
  <si>
    <t>D. Preferred stock issued by IBM</t>
  </si>
  <si>
    <t>An investor in a T-bill earns interest by _________.</t>
  </si>
  <si>
    <t>A buying the bill at a discount from the face value and receiving face value at maturity</t>
  </si>
  <si>
    <t>A contract that gives its buyer the right, but not the obligation, to sell the stock of General electric at a specified price is called a: </t>
  </si>
  <si>
    <t>D put option</t>
  </si>
  <si>
    <t>An agreement that gives the owner the right, but not the obligation, to buy a stock of Microsoft at a specified price during a specified time period is called. </t>
  </si>
  <si>
    <t>A. call option</t>
  </si>
  <si>
    <t>Which of the following can be described as involving direct finance?</t>
  </si>
  <si>
    <t>B. A corporation buys commercial paper issued by another corporation</t>
  </si>
  <si>
    <t>Suppose the investment yield on 91-day T-bill is 3.33%. What is its discount-basis yield?</t>
  </si>
  <si>
    <t>(100-p/p)*(365/91)=3.33%</t>
  </si>
  <si>
    <t>(100-p/p)*(3.33%/4.010989011)</t>
  </si>
  <si>
    <t>100=1+(3.33%/4.010989011)*price</t>
  </si>
  <si>
    <t>100=1+.008302192p</t>
  </si>
  <si>
    <t>What is the monthly payment on 27-year, $229,540 mortgage at 10.03% annual interest, compounding monthly?</t>
  </si>
  <si>
    <t>A saving account offers a nominal rate of 13.56%. If you open that account with an initial deposit of $3,745 and each month for now on you will save $444. What is the balance of the account after 11 years?</t>
  </si>
  <si>
    <t>Which of the following statements about financial markets and securities are true?</t>
  </si>
  <si>
    <t>D. both. Most common stocks are traded over-the-counter, although the largest corporations usually have their shares traded at organized stock exchanges, such as the New York stock Exchange  Because of their short terms to maturity, the prices of money market instruments tend not to fluctuate wildly</t>
  </si>
  <si>
    <t>What is the maximum purchase price of an asset that gives a monthly net cash  flow of $608 at the end of the month? The expected holding period is 8 years, the estimated selling price at that time is $1,146, and you want at least a 10.40% return per year.</t>
  </si>
  <si>
    <t>How many years should be a $25,755 loan with an interest rate for 5.27% per year, compounded monthly, if you can paid only $586 per month?</t>
  </si>
  <si>
    <t>What annual interest rate must be obtained to accumulate $34,356 in 8 years on an investment of $14,051 with quarterly compounding?</t>
  </si>
  <si>
    <t>Quiz 3</t>
  </si>
  <si>
    <t xml:space="preserve">What does beta represent? </t>
  </si>
  <si>
    <t>D. individual company risk against market risk</t>
  </si>
  <si>
    <t>Preferred stock:</t>
  </si>
  <si>
    <t>A. is treated like equity for both tax and accounting purposes.</t>
  </si>
  <si>
    <t>Which of the following factors affect an investor’s required rate of return?</t>
  </si>
  <si>
    <t>D all of the above - real risk free rate, expected rate of inflation, and risk premium</t>
  </si>
  <si>
    <t>Which securities can be valued by dividing the constant annual dividend by the required rate of return?</t>
  </si>
  <si>
    <t>C. Preferred stocks</t>
  </si>
  <si>
    <r>
      <t>Assume D</t>
    </r>
    <r>
      <rPr>
        <vertAlign val="subscript"/>
        <sz val="12"/>
        <color rgb="FF353535"/>
        <rFont val="Georgia"/>
        <family val="1"/>
      </rPr>
      <t>1 </t>
    </r>
    <r>
      <rPr>
        <sz val="11"/>
        <color rgb="FF353535"/>
        <rFont val="Georgia"/>
        <family val="1"/>
      </rPr>
      <t>= $3.00, K</t>
    </r>
    <r>
      <rPr>
        <vertAlign val="subscript"/>
        <sz val="12"/>
        <color rgb="FF353535"/>
        <rFont val="Georgia"/>
        <family val="1"/>
      </rPr>
      <t>e</t>
    </r>
    <r>
      <rPr>
        <sz val="11"/>
        <color rgb="FF353535"/>
        <rFont val="Georgia"/>
        <family val="1"/>
      </rPr>
      <t> = 10%, and g = 12 % using the Constant Growth Dividend Valuation Model, compute P0</t>
    </r>
  </si>
  <si>
    <t>Po=D1/Ke-G</t>
  </si>
  <si>
    <t>D. The constant growth formula can't be used (Ke has to be larger than g)</t>
  </si>
  <si>
    <t xml:space="preserve"> </t>
  </si>
  <si>
    <t>The March Madness Company just paid an annual dividend of $9.76. If you expect a constant growth rate of 2.48 percent, and have a required rate of return of 11.68 percent, what is the current stock price according to the constant growth dividend model?</t>
  </si>
  <si>
    <t>9.76/(11.68-2.48)</t>
  </si>
  <si>
    <t>Calculate the expected rate of return (ER) for the following:</t>
  </si>
  <si>
    <t>Po= purchase price = $50</t>
  </si>
  <si>
    <t>P1= expected selling price = $71</t>
  </si>
  <si>
    <t>I = Income = $7 </t>
  </si>
  <si>
    <t>What is the percentage of Expected Return?</t>
  </si>
  <si>
    <r>
      <t>Assume D</t>
    </r>
    <r>
      <rPr>
        <vertAlign val="subscript"/>
        <sz val="11"/>
        <color rgb="FF353535"/>
        <rFont val="Georgia"/>
        <family val="1"/>
      </rPr>
      <t>1 </t>
    </r>
    <r>
      <rPr>
        <sz val="11"/>
        <color rgb="FF353535"/>
        <rFont val="Georgia"/>
        <family val="1"/>
      </rPr>
      <t>= $16.42, K</t>
    </r>
    <r>
      <rPr>
        <vertAlign val="subscript"/>
        <sz val="11"/>
        <color rgb="FF353535"/>
        <rFont val="Georgia"/>
        <family val="1"/>
      </rPr>
      <t>e</t>
    </r>
    <r>
      <rPr>
        <sz val="11"/>
        <color rgb="FF353535"/>
        <rFont val="Georgia"/>
        <family val="1"/>
      </rPr>
      <t> = 10.39% using the Preferred Stock Dividend Valuation Model (the No Growth Model), compute P</t>
    </r>
    <r>
      <rPr>
        <vertAlign val="subscript"/>
        <sz val="11"/>
        <color rgb="FF353535"/>
        <rFont val="Georgia"/>
        <family val="1"/>
      </rPr>
      <t>0 </t>
    </r>
  </si>
  <si>
    <t>Po=D1/Ke</t>
  </si>
  <si>
    <t>At the end of the year 2016 Brown Bear Corporation paid dividends $4.97 per share. The company projects the following annual growth rates in dividends:</t>
  </si>
  <si>
    <r>
      <t>            </t>
    </r>
    <r>
      <rPr>
        <u/>
        <sz val="11"/>
        <color rgb="FF353535"/>
        <rFont val="Georgia"/>
        <family val="1"/>
      </rPr>
      <t>Year</t>
    </r>
    <r>
      <rPr>
        <sz val="11"/>
        <color rgb="FF353535"/>
        <rFont val="Georgia"/>
        <family val="1"/>
      </rPr>
      <t>    </t>
    </r>
    <r>
      <rPr>
        <u/>
        <sz val="11"/>
        <color rgb="FF353535"/>
        <rFont val="Georgia"/>
        <family val="1"/>
      </rPr>
      <t>Growth Rate</t>
    </r>
  </si>
  <si>
    <t>            2017    13%</t>
  </si>
  <si>
    <t>            2018    13%</t>
  </si>
  <si>
    <t>            2019    13%</t>
  </si>
  <si>
    <t>            2020    9%</t>
  </si>
  <si>
    <t>            2021    8%</t>
  </si>
  <si>
    <t>            2022    4%</t>
  </si>
  <si>
    <t>From year 2023 onward growth in dividends is expected to remain constant at 2% per year. The required rate of return for this stock is 8.66%.</t>
  </si>
  <si>
    <t>Calculate the economic value of the stock now (end of the Year 2016).</t>
  </si>
  <si>
    <t>Green Company's common stock is currently selling for $52.74 per share. Last year, the company paid dividends of $3.07 per share. The projected growth at a rate of dividends for this stock is 7.29 percent. Which rate of return does the investor expect to receive on this stock if it is purchased today?</t>
  </si>
  <si>
    <t>Ke</t>
  </si>
  <si>
    <t>52.74=3.07/Ke-7.29%</t>
  </si>
  <si>
    <t>k-.0729=3.07/52.74</t>
  </si>
  <si>
    <t>Wrong</t>
  </si>
  <si>
    <t>Quiz 4</t>
  </si>
  <si>
    <t>Rose wants to buy a second home that will eventually become her retirement home and does not want a mortgage to finance this second home. She plans to spend approximately $114,970 in 15 years on this purchase. She has two zero-coupon bonds that mature in 15 years each with cash values of $1,506.19 and face values of $2,500. In 15 years, she will use them as part of her $114,970.  What is Rose's required monthly deposit at the beginning of each month in order to accumulate the $114,970 she needs to buy her home at an assumed interest rate of 12.47% on her investment?</t>
  </si>
  <si>
    <t>Rate</t>
  </si>
  <si>
    <t>PV</t>
  </si>
  <si>
    <t>FV</t>
  </si>
  <si>
    <t>PMT</t>
  </si>
  <si>
    <t>Interest payments and bond prices are stated as percentages of par</t>
  </si>
  <si>
    <t>1% or 1 point for a bond = $10.00</t>
  </si>
  <si>
    <t>An 1/8 of a point for a bond = $1.25</t>
  </si>
  <si>
    <t>Mrs. Smith owns a 5% bond; this means that she receives $50 per year in interest. She paid a price of 112 ½ for the bond. How much is this in dollars?</t>
  </si>
  <si>
    <t>112.5% of par value</t>
  </si>
  <si>
    <t>Fresh Food, Inc. sold an issue of 26-year $1,000 par value bonds to the public. The bonds have a 9.31 percent coupon rate and pay interest annually. The current market rate of interest on the Fresh Food, Inc. bonds is 8.59 percent. What is the current market price of the bonds?</t>
  </si>
  <si>
    <t>Nper</t>
  </si>
  <si>
    <t>Swim Factory has a $1,000 par value, 28-year to maturity bond outstanding with an annual coupon rate of 11.66 percent per year, paid semiannually. Market interest rates on similar bonds are 12.30 percent. Calculate the bond’s price today.</t>
  </si>
  <si>
    <t>What is the yield to maturity of a 15-year bond that pays a coupon rate of 11.91 percent per year, has a $1,000 par value, and is currently priced at $941.22? Assume annual coupon payments.</t>
  </si>
  <si>
    <t>ytm</t>
  </si>
  <si>
    <t>**valuation of bonds spreadsheet</t>
  </si>
  <si>
    <t>What is the yield to call of a 10-year to maturity bond that pays a coupon rate of 11.85 percent per year, has a $1,000 par value, and is currently priced at $952.18? The bond can be called back in 5 years at a call price $1,048. Assume annual coupon payments.</t>
  </si>
  <si>
    <t>Your client purchased Main municipal bond that has 9.52% municipal bond yield. Federal tax bracket is 33%. Calculate Taxable Equivalent Yield for your client.</t>
  </si>
  <si>
    <t>taxable equivalent = municapl bond/1-marginal tax rate</t>
  </si>
  <si>
    <t>You have purchased a corporate bond with the settlement date on September 15 with the face value of $1000 and the coupon rate 9.61%, that has a listed price of 111.627 and that pays interest semiannually on February 15 and August 15. Accrued interest is determined using 30/360 convention. How much must you pay for the bond?</t>
  </si>
  <si>
    <t>How can you describe bond issuers?</t>
  </si>
  <si>
    <t>Government</t>
  </si>
  <si>
    <t>Corporate (public and private)</t>
  </si>
  <si>
    <t>Household</t>
  </si>
  <si>
    <t>Foreign</t>
  </si>
  <si>
    <t>Bond issuers include:</t>
  </si>
  <si>
    <t>D. 1,2,4</t>
  </si>
  <si>
    <t>Term structure interest rates are also known as:</t>
  </si>
  <si>
    <t>C. yield curve</t>
  </si>
  <si>
    <t>Which of the following risk factors are the most important for purchasers of long-term high-grade bonds?</t>
  </si>
  <si>
    <t>B. purchasing power risk</t>
  </si>
  <si>
    <t>The original maturity of Treasury notes are _________________. </t>
  </si>
  <si>
    <t>D. between 1 and 10 years</t>
  </si>
  <si>
    <t>Mary purchased a corporate bond with the settlement date on September 15 with the face value of $1000 and the coupon rate 5.14%, that has a listed price of 103.052 and that pays interest semiannually on February 15 and August 15. Accrued interest is determined using actual/actual convention. How much must Mary pay for the bond?</t>
  </si>
  <si>
    <t>Quiz 5</t>
  </si>
  <si>
    <t>A call option is an agreement that:</t>
  </si>
  <si>
    <r>
      <t>A </t>
    </r>
    <r>
      <rPr>
        <i/>
        <sz val="11"/>
        <color rgb="FF353535"/>
        <rFont val="Georgia"/>
        <family val="1"/>
      </rPr>
      <t>Call</t>
    </r>
    <r>
      <rPr>
        <sz val="11"/>
        <color rgb="FF353535"/>
        <rFont val="Georgia"/>
        <family val="1"/>
      </rPr>
      <t> is an Option to Buy:</t>
    </r>
  </si>
  <si>
    <t>Your client purchased 300 shares of Speedy Airlines common stock at $22.54 a share in July of 2015. In June of 2016 the client writes 2 October 35 calls at 4 against the stock position. If the market of Speedy Airlines is trading at $41.33 at expiration, what is the client’s realized gain?</t>
  </si>
  <si>
    <t xml:space="preserve">1 call=100 </t>
  </si>
  <si>
    <t>List the advantages of the forward markets:</t>
  </si>
  <si>
    <t>Flexibility with regard to delivery dates</t>
  </si>
  <si>
    <t>Flexibility with regard to size of contract</t>
  </si>
  <si>
    <t>Quality of the asset</t>
  </si>
  <si>
    <t>Transaction costs are locked</t>
  </si>
  <si>
    <t>Options expire on the _____ of the expiration month. </t>
  </si>
  <si>
    <t>B. Saturday following the 3rd Friday of the month</t>
  </si>
  <si>
    <t>Which of the following statements is correct about futures contract? </t>
  </si>
  <si>
    <t>John, a short seller is trying to determine his break-even point. With no other securities, John plans to short sell 100 shares of XYZ at $69.03. Next John plans to sell an XYZ October Put for $800. John will break-even when the price of the stock is at:</t>
  </si>
  <si>
    <t>An investor, having just purchased 5 put contracts, may be anticipating </t>
  </si>
  <si>
    <t>D. its underlying assets to decline in value</t>
  </si>
  <si>
    <t>Sarah instructs his broker to buy a March 40 call option on Super Brand at 3. If the stock of Super Brand is trading at $55.40 at expiration, what is Sarah’s realized gain?</t>
  </si>
  <si>
    <t xml:space="preserve"> =stock price-strike price - premium</t>
  </si>
  <si>
    <t>You would like to have the contract that gives you the right, but not the obligation, to buy a stock of General Motors at a specified price. You should: </t>
  </si>
  <si>
    <t>C buy a call option on stock of General Motors.</t>
  </si>
  <si>
    <t>Paul instructs his broker to buy an uncovered October 35 call option on Best Eastern at 4. If the stock of Best Eastern is trading at $21.97 at expiration, what is Paul’s realized gain or loss? Gain should be entered as a positive value. Loss should be entered as a negative value.</t>
  </si>
  <si>
    <t>An option is called a European put option if it gives the holder the right to: </t>
  </si>
  <si>
    <t>A. sell the underlying stock at the strike price only on the expiration date.</t>
  </si>
  <si>
    <t>John purchased 300 shares of Big Trouble common stock at $25.56 a share in July of 2015. In June of 2016 John buys 3 October 45 puts at 3. If the market of Big Trouble is trading at $30.98 at expiration, what is John’s realized gain?</t>
  </si>
  <si>
    <t>D. gives the buyer the right to purchase a stock at Tiffany, Inc. at some point in the future at a predetermined price</t>
  </si>
  <si>
    <t>The question is asking for the client’s realized gain. The investor is long 300 shares, but is only writing 2 covered calls. Since the current market price of Speedy Airlines is above the strike price at expiration, the call options would be exercised against the writer. The client would be obligated to deliver or sell 200 shares at the strike price. The realized gain on the stock is 200 shares* (option strike price - stock purchased price in July 2015). The client received money from writing two covered call options (2 calls @ price of call *100 shares); therefore the total realized gain is the sum of realized gains from stock plus the cost of the option . The client would still own 100 shares at a cost basis.</t>
  </si>
  <si>
    <t>D. 1 and 2</t>
  </si>
  <si>
    <t>B it is a contract to exchange goods on a specified date in the future at a price that is agreed upon today.</t>
  </si>
  <si>
    <t>An individual who sells short risks loss if the price of the stock rises. If the price rises and the stock is bought in the open market to cover, the loss would be compensated by the put premium. If the market price rises to break-even, the loss of the rising price is exactly matched by the put premium.</t>
  </si>
  <si>
    <t>gain = (selling price-purchase price) + gain from premium or #calls*4</t>
  </si>
  <si>
    <t>Quiz 6</t>
  </si>
  <si>
    <t>Stock X produced the following returns in recent years:</t>
  </si>
  <si>
    <t>Year</t>
  </si>
  <si>
    <t>Stock X</t>
  </si>
  <si>
    <t> Calculate the standard deviations of the returns on the stock.</t>
  </si>
  <si>
    <t>Calculate the expected return on stock of Time Saver Inc.:</t>
  </si>
  <si>
    <t>State of the economy</t>
  </si>
  <si>
    <t>Probability of the states</t>
  </si>
  <si>
    <t>Percentage returns</t>
  </si>
  <si>
    <t>Economic recession</t>
  </si>
  <si>
    <t>Steady economic growth   </t>
  </si>
  <si>
    <t>Boom</t>
  </si>
  <si>
    <r>
      <t>Round the answers to two decimal places in percentage form</t>
    </r>
    <r>
      <rPr>
        <sz val="11"/>
        <color rgb="FF353535"/>
        <rFont val="Georgia"/>
        <family val="1"/>
      </rPr>
      <t>. </t>
    </r>
    <r>
      <rPr>
        <i/>
        <sz val="12"/>
        <color rgb="FFF00000"/>
        <rFont val="Times New Roman"/>
        <family val="1"/>
      </rPr>
      <t>(Write the percentage sign in the "units" box)</t>
    </r>
  </si>
  <si>
    <t>King Farm Manufacturing Company’s common stock has a beta of 2.46. If the risk-free rate is 3.70 percent, and the market return is 9.14 percent, calculate the required return on King Farm Manufacturing’s common stock.</t>
  </si>
  <si>
    <t>beta</t>
  </si>
  <si>
    <t>risk free</t>
  </si>
  <si>
    <t>market</t>
  </si>
  <si>
    <t>required rate of return</t>
  </si>
  <si>
    <t>Try to determine the required rate of return on Tilden Woods Corporation’s common stock. The firm’s beta is 0.88. The rate on a 10-year Treasury bond is 2.45 percent, and the market risk premium is 8.44 percent.</t>
  </si>
  <si>
    <r>
      <t>Which of the following statements is </t>
    </r>
    <r>
      <rPr>
        <i/>
        <u/>
        <sz val="15"/>
        <color rgb="FF000000"/>
        <rFont val="Times New Roman"/>
        <family val="1"/>
      </rPr>
      <t>false</t>
    </r>
    <r>
      <rPr>
        <sz val="15"/>
        <color rgb="FF000000"/>
        <rFont val="Times New Roman"/>
        <family val="1"/>
      </rPr>
      <t>?</t>
    </r>
  </si>
  <si>
    <t>A. A stock is considered overvalued if its required rate of return is below its estimated rate of return.</t>
  </si>
  <si>
    <t>Items that circumvent Fisher’s Perfect World include:</t>
  </si>
  <si>
    <t>No barriers to trade</t>
  </si>
  <si>
    <t>Free flow of information</t>
  </si>
  <si>
    <t>The firm’s independent decision making</t>
  </si>
  <si>
    <t>Satisfying stockholder wealth maximization criteria</t>
  </si>
  <si>
    <t>Investor’s receiving regular dividends</t>
  </si>
  <si>
    <t>C. I-IV</t>
  </si>
  <si>
    <t>Which of the following statement(s) concerning beta coefficients is (are) correct?</t>
  </si>
  <si>
    <t>Investors who tend to be risk averse should have a portfolio made up mostly of high-beta-coefficient securities.</t>
  </si>
  <si>
    <t>Beta coefficients of particular securities change over time</t>
  </si>
  <si>
    <t>Beta coefficients are constructed based on past data</t>
  </si>
  <si>
    <t>B. 2 and 3</t>
  </si>
  <si>
    <t>Unsystematic risk is diversifiable:</t>
  </si>
  <si>
    <t>Which of the following risks confronting ABC Worldwide, Inc. is an example of an unsystematic risk?</t>
  </si>
  <si>
    <t>Which of the following concerning the standard deviation of a stock’s rate of return is (are) correct:</t>
  </si>
  <si>
    <t>The standard deviation of a stock’s rate of return reflects both the systematic and unsystematic risks associated with a stock</t>
  </si>
  <si>
    <t>Approximately 68% of the rates of return on the stock will fall within plus or minus one stand deviation of the average rate of return</t>
  </si>
  <si>
    <t>C. Both 1 and 2</t>
  </si>
  <si>
    <t>Investment risk can best be defined as the _________ in the expected return of an investment.</t>
  </si>
  <si>
    <t>C. Variability</t>
  </si>
  <si>
    <t>B. A possible decline in its earnings due to a strike by its employees</t>
  </si>
  <si>
    <t>Which of the following is generally used to measure the market portfolio when calculating betas?</t>
  </si>
  <si>
    <t>C. sp500</t>
  </si>
  <si>
    <r>
      <t>Which of the following is </t>
    </r>
    <r>
      <rPr>
        <i/>
        <u/>
        <sz val="11"/>
        <color rgb="FF353535"/>
        <rFont val="Georgia"/>
        <family val="1"/>
      </rPr>
      <t>not</t>
    </r>
    <r>
      <rPr>
        <sz val="11"/>
        <color rgb="FF353535"/>
        <rFont val="Georgia"/>
        <family val="1"/>
      </rPr>
      <t> an example of factors that affect systematic risk?</t>
    </r>
  </si>
  <si>
    <t>B. firm got a lawsuit</t>
  </si>
  <si>
    <t>According to Markowitz risk can be:</t>
  </si>
  <si>
    <t>C Minimized by selecting an optimum combination of investments</t>
  </si>
  <si>
    <t>The beta of a security:</t>
  </si>
  <si>
    <t>Is not the same as its systematic risk level</t>
  </si>
  <si>
    <t>Can be measured by standard deviation</t>
  </si>
  <si>
    <t>Is the slop of the capital market line</t>
  </si>
  <si>
    <t>A measure of the degree to which two variables move predictably is known as</t>
  </si>
  <si>
    <t>c. covariance</t>
  </si>
  <si>
    <r>
      <t>Which of the following concerning systematic and/or unsystematic risk is </t>
    </r>
    <r>
      <rPr>
        <i/>
        <sz val="11"/>
        <color rgb="FF353535"/>
        <rFont val="Georgia"/>
        <family val="1"/>
      </rPr>
      <t>not</t>
    </r>
    <r>
      <rPr>
        <sz val="11"/>
        <color rgb="FF353535"/>
        <rFont val="Georgia"/>
        <family val="1"/>
      </rPr>
      <t> correct?</t>
    </r>
  </si>
  <si>
    <t>C A coefficient of determination of .75 in a portfolio means that 75% of the portfolio risk is unsystematic</t>
  </si>
  <si>
    <t>Portfolio risks can be calculated. Which of the following statistical formulas calculate portfolio risk?</t>
  </si>
  <si>
    <t>B standard deviation of the variance of returns</t>
  </si>
  <si>
    <t>C none of these</t>
  </si>
  <si>
    <t>Quiz 8</t>
  </si>
  <si>
    <t>You hold a portfolio with the following securities:</t>
  </si>
  <si>
    <t>Percent of portfolio</t>
  </si>
  <si>
    <t>Return</t>
  </si>
  <si>
    <t>Stock A</t>
  </si>
  <si>
    <t>Stock B</t>
  </si>
  <si>
    <t>Stock C</t>
  </si>
  <si>
    <t>Stock D</t>
  </si>
  <si>
    <t>WARR</t>
  </si>
  <si>
    <t>Jack holds a portfolio with the following securities:</t>
  </si>
  <si>
    <t>Investment</t>
  </si>
  <si>
    <r>
      <t>Calculate the expected return of portfolio. </t>
    </r>
    <r>
      <rPr>
        <i/>
        <sz val="12"/>
        <color rgb="FF353535"/>
        <rFont val="Times New Roman"/>
        <family val="1"/>
      </rPr>
      <t>Round the answers to two decimal places in percentage form. </t>
    </r>
    <r>
      <rPr>
        <i/>
        <sz val="12"/>
        <color rgb="FFF00000"/>
        <rFont val="Times New Roman"/>
        <family val="1"/>
      </rPr>
      <t>(Write the percentage sign in the "units" box)</t>
    </r>
  </si>
  <si>
    <t>Weight</t>
  </si>
  <si>
    <t>Overall asset allocation for a portfolio is performed using the expected returns, ________________, and correlations between asset classes.</t>
  </si>
  <si>
    <t>B. Standard deviation</t>
  </si>
  <si>
    <t>Which of the following portfolios would be most appropriate for a moderately aggressive investor with an intermediate-term time horizon?</t>
  </si>
  <si>
    <t>B. 30% domestic equity securities; 30% fixed-income domestic securities; 20% real estate; 20% foreign securities</t>
  </si>
  <si>
    <t>When a company changes its capital structure, what happens?</t>
  </si>
  <si>
    <t>The Weighted Average Cost of Capitial (WACC) changes</t>
  </si>
  <si>
    <t>The discount rate does not change</t>
  </si>
  <si>
    <t>Investors buy or sell shares</t>
  </si>
  <si>
    <t>Investors perceive the firm as having more risk </t>
  </si>
  <si>
    <t>Which of the following facts explains why the standard deviation of the portfolio is less than the standard deviation of either of the two stocks that make up the portfolio?</t>
  </si>
  <si>
    <t>B The fact that Stocks X and Y have a negative correlation coefficient</t>
  </si>
  <si>
    <t>A risk-free investment as a beta of zero because its covariance with the market is zero.</t>
  </si>
  <si>
    <t>Proponents of CAPM have concluded that all of the following are correct EXCEPT one:</t>
  </si>
  <si>
    <r>
      <t>Which of the following definitions of investor returns is </t>
    </r>
    <r>
      <rPr>
        <i/>
        <sz val="11"/>
        <color rgb="FF353535"/>
        <rFont val="Georgia"/>
        <family val="1"/>
      </rPr>
      <t>false</t>
    </r>
    <r>
      <rPr>
        <sz val="11"/>
        <color rgb="FF353535"/>
        <rFont val="Georgia"/>
        <family val="1"/>
      </rPr>
      <t>?</t>
    </r>
  </si>
  <si>
    <t>B are not based on capital appreciation</t>
  </si>
  <si>
    <t>A. capm can be used for multiple-period plans</t>
  </si>
  <si>
    <t>B. I, III, IV</t>
  </si>
  <si>
    <t>Final</t>
  </si>
  <si>
    <t>Which of the following is a FALSE statement about the point-of-view of the call option holder:</t>
  </si>
  <si>
    <t>D Out-of-the money is when underlying price is greater than the stock price</t>
  </si>
  <si>
    <t>List three advantages of asset allocation</t>
  </si>
  <si>
    <t>Smooths out the ups and downs of the market</t>
  </si>
  <si>
    <t>Shows that is pays to have your eggs in one basket</t>
  </si>
  <si>
    <t>Allows for diversification</t>
  </si>
  <si>
    <t>Helps to mitigate downside risk</t>
  </si>
  <si>
    <t>A. 1, 3, 4</t>
  </si>
  <si>
    <t>Which of the following statements concerning the Markowitz efficient frontier is correct?</t>
  </si>
  <si>
    <t>D A portfolio that offers the highest rate of return for a given degree of risk  is on the efficient frontier</t>
  </si>
  <si>
    <t>T-bill</t>
  </si>
  <si>
    <t>B the sum of the prices of 30 large "blue-chip" stocks and dividing by a divisor adjusted for stock splits and large stock dividends</t>
  </si>
  <si>
    <t>Green Company's common stock is currently selling for $89.00 per share. Last year, the company paid dividends of $1.32 per share. The projected growth at a rate of dividends for this stock is 3.29 percent. Which rate of return does the investor expect to receive on this stock if it is purchased today?</t>
  </si>
  <si>
    <t>share price</t>
  </si>
  <si>
    <t>dividends</t>
  </si>
  <si>
    <t>growth rate</t>
  </si>
  <si>
    <t>89=1.32/ke - 3.29%</t>
  </si>
  <si>
    <t>k-.0329=1.32/89</t>
  </si>
  <si>
    <t>The purpose of stock valuation is to:</t>
  </si>
  <si>
    <t>B To determine whether the value of a common stock is fairly represented by its market price</t>
  </si>
  <si>
    <t>What annual interest rate must be obtained to accumulate $38,567 in 20 years on an investment of $12,883 with quarterly compounding?</t>
  </si>
  <si>
    <t>Suppose the investment yield on 14-day T-bill is 3.29%. What is its discount-basis yield?</t>
  </si>
  <si>
    <t>(100-p/p)*(365/14)=3.29%</t>
  </si>
  <si>
    <t>(100-p/p)*(3.29%/26.0714286)</t>
  </si>
  <si>
    <t>100=1+(3.29%/26.0714286)*price</t>
  </si>
  <si>
    <t>100=1+.00126192p</t>
  </si>
  <si>
    <t>Assume the following information concerning a two-stock portfolio:</t>
  </si>
  <si>
    <t>     Stock X</t>
  </si>
  <si>
    <t>          Stock Y</t>
  </si>
  <si>
    <t>Percent of Portfolio</t>
  </si>
  <si>
    <t>Average annual return</t>
  </si>
  <si>
    <t>Standard deviation of returns</t>
  </si>
  <si>
    <t>Calculate the correlation coefficient of Stocks X and Stock Y .</t>
  </si>
  <si>
    <r>
      <t>Round the answers to </t>
    </r>
    <r>
      <rPr>
        <b/>
        <i/>
        <u/>
        <sz val="11"/>
        <color rgb="FF353535"/>
        <rFont val="Georgia"/>
        <family val="1"/>
      </rPr>
      <t>four</t>
    </r>
    <r>
      <rPr>
        <i/>
        <sz val="11"/>
        <color rgb="FF353535"/>
        <rFont val="Georgia"/>
        <family val="1"/>
      </rPr>
      <t> decimal places. </t>
    </r>
    <r>
      <rPr>
        <sz val="11"/>
        <color rgb="FF353535"/>
        <rFont val="Georgia"/>
        <family val="1"/>
      </rPr>
      <t> </t>
    </r>
  </si>
  <si>
    <t xml:space="preserve">Covariance of returns                                       </t>
  </si>
  <si>
    <t>24.87  </t>
  </si>
  <si>
    <t>???????</t>
  </si>
  <si>
    <t>Mary purchased a corporate bond with the settlement date on September 15 with the face value of $1000 and the coupon rate 9.31%, that has a listed price of 106.425 and that pays interest semiannually on February 15 and August 15. Accrued interest is determined using actual/actual convention. How much must Mary pay for the bond?</t>
  </si>
  <si>
    <t>par value</t>
  </si>
  <si>
    <t>coupon rate</t>
  </si>
  <si>
    <t>price</t>
  </si>
  <si>
    <t>Which of the IPS’s factors would change if the client went to another financial professional?</t>
  </si>
  <si>
    <t>C investment strategies</t>
  </si>
  <si>
    <t>The most important component of an IPS is:</t>
  </si>
  <si>
    <t>A investment objectives and constraints</t>
  </si>
  <si>
    <t>What is the yield to maturity of a 22-year bond that pays a coupon rate of 10.04 percent per year, has a $1,000 par value, and is currently priced at $868.04? Assume annual coupon payments.</t>
  </si>
  <si>
    <t>Round the answers to two decimal places in percentage form. (Write the percentage sign in the "units" box).</t>
  </si>
  <si>
    <t>You should use approximate formula for YTM provided in the Learning materials in week 4.</t>
  </si>
  <si>
    <t>calculator states</t>
  </si>
  <si>
    <t>Your client purchased North Carolina municipal bond that has 5.78% municipal bond yield. Federal tax bracket is 40%. Calculate Taxable Equivalent Yield for your client.</t>
  </si>
  <si>
    <t>Fresh Food, Inc. sold an issue of 7-year $1,000 par value bonds to the public. The bonds have a 9.24 percent coupon rate and pay interest annually. The current market rate of interest on the Fresh Food, Inc. bonds is 9.05 percent. What is the current market price of the bonds?</t>
  </si>
  <si>
    <t>Which one of the following describes a short position?</t>
  </si>
  <si>
    <t>D Selling a security that you do not own</t>
  </si>
  <si>
    <t>At the end of the year 2016 Brown Bear Corporation paid dividends $2.92 per share. The company projects the following annual growth rates in dividends:</t>
  </si>
  <si>
    <t>            2020    10%</t>
  </si>
  <si>
    <t>            2021    6%</t>
  </si>
  <si>
    <t>            2022    6%</t>
  </si>
  <si>
    <t>From year 2023 onward growth in dividends is expected to remain constant at 3% per year. The required rate of return for this stock is 8.26%.</t>
  </si>
  <si>
    <t>??????</t>
  </si>
  <si>
    <t>Your client purchased 300 shares of Speedy Airlines common stock at $26.18 a share in July of 2015. In June of 2016 the client writes 2 October 35 calls at 7 against the stock position. If the market of Speedy Airlines is trading at $41.38 at expiration, what is the client’s realized gain?</t>
  </si>
  <si>
    <t>Calculate the standard deviation of the portfolio using Markowitz formula.</t>
  </si>
  <si>
    <t>31  </t>
  </si>
  <si>
    <t>Mary just purchased $10,000 worth of stock. She paid $8,000 in cash and borrowed $2,000. In this example, the term margin refers to: </t>
  </si>
  <si>
    <t>E  the percentage of the purchase that Mary paid in cash.</t>
  </si>
  <si>
    <t>average</t>
  </si>
  <si>
    <t>ssume a four-stock portfolio of stocks with following characteristics:</t>
  </si>
  <si>
    <t>Stock</t>
  </si>
  <si>
    <t>Percentage of Total</t>
  </si>
  <si>
    <t>Beta</t>
  </si>
  <si>
    <t>Rate of Return</t>
  </si>
  <si>
    <t>A</t>
  </si>
  <si>
    <t>B</t>
  </si>
  <si>
    <t>C</t>
  </si>
  <si>
    <t>D</t>
  </si>
  <si>
    <t>Calculate the weighted average beta for the portfolio. </t>
  </si>
  <si>
    <t>weight</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</si>
</sst>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6" formatCode="&quot;$&quot;#,##0_);[Red]\(&quot;$&quot;#,##0\)"/>
    <numFmt numFmtId="8" formatCode="&quot;$&quot;#,##0.00_);[Red]\(&quot;$&quot;#,##0.00\)"/>
    <numFmt numFmtId="44" formatCode="_(&quot;$&quot;* #,##0.00_);_(&quot;$&quot;* \(#,##0.00\);_(&quot;$&quot;* &quot;-&quot;??_);_(@_)"/>
    <numFmt numFmtId="164" formatCode="0.000%"/>
    <numFmt numFmtId="165" formatCode="0.0000%"/>
    <numFmt numFmtId="166" formatCode="0.0%"/>
    <numFmt numFmtId="167" formatCode="0.00000%"/>
  </numFmts>
  <fonts count="28" x14ac:knownFonts="1">
    <font>
      <sz val="12"/>
      <color theme="1"/>
      <name val="Calibri"/>
      <family val="2"/>
      <scheme val="minor"/>
    </font>
    <font>
      <sz val="12"/>
      <color theme="1"/>
      <name val="Calibri"/>
      <family val="2"/>
      <scheme val="minor"/>
    </font>
    <font>
      <sz val="12"/>
      <color theme="1"/>
      <name val="Calibri"/>
      <family val="2"/>
      <scheme val="minor"/>
    </font>
    <font>
      <sz val="11"/>
      <color rgb="FF353535"/>
      <name val="Georgia"/>
      <family val="1"/>
    </font>
    <font>
      <u/>
      <sz val="12"/>
      <color theme="10"/>
      <name val="Calibri"/>
      <family val="2"/>
      <scheme val="minor"/>
    </font>
    <font>
      <u/>
      <sz val="12"/>
      <color theme="11"/>
      <name val="Calibri"/>
      <family val="2"/>
      <scheme val="minor"/>
    </font>
    <font>
      <b/>
      <sz val="12"/>
      <color theme="1"/>
      <name val="Calibri"/>
      <family val="2"/>
      <scheme val="minor"/>
    </font>
    <font>
      <sz val="16"/>
      <color rgb="FF353535"/>
      <name val="Times New Roman"/>
    </font>
    <font>
      <sz val="12"/>
      <color rgb="FF353535"/>
      <name val="Calibri"/>
      <scheme val="minor"/>
    </font>
    <font>
      <b/>
      <sz val="12"/>
      <color rgb="FF353535"/>
      <name val="Calibri"/>
      <scheme val="minor"/>
    </font>
    <font>
      <vertAlign val="subscript"/>
      <sz val="12"/>
      <color rgb="FF353535"/>
      <name val="Georgia"/>
      <family val="1"/>
    </font>
    <font>
      <vertAlign val="subscript"/>
      <sz val="11"/>
      <color rgb="FF353535"/>
      <name val="Georgia"/>
      <family val="1"/>
    </font>
    <font>
      <u/>
      <sz val="11"/>
      <color rgb="FF353535"/>
      <name val="Georgia"/>
      <family val="1"/>
    </font>
    <font>
      <i/>
      <sz val="12"/>
      <color theme="1"/>
      <name val="Calibri"/>
      <scheme val="minor"/>
    </font>
    <font>
      <i/>
      <sz val="11"/>
      <color rgb="FF353535"/>
      <name val="Georgia"/>
      <family val="1"/>
    </font>
    <font>
      <b/>
      <sz val="11"/>
      <color rgb="FF353535"/>
      <name val="Georgia"/>
      <family val="1"/>
    </font>
    <font>
      <sz val="12"/>
      <color rgb="FF000000"/>
      <name val="Times New Roman"/>
      <family val="1"/>
    </font>
    <font>
      <i/>
      <sz val="12"/>
      <color rgb="FF353535"/>
      <name val="Times New Roman"/>
      <family val="1"/>
    </font>
    <font>
      <i/>
      <sz val="12"/>
      <color rgb="FFF00000"/>
      <name val="Times New Roman"/>
      <family val="1"/>
    </font>
    <font>
      <sz val="15"/>
      <color rgb="FF000000"/>
      <name val="Times New Roman"/>
      <family val="1"/>
    </font>
    <font>
      <i/>
      <u/>
      <sz val="15"/>
      <color rgb="FF000000"/>
      <name val="Times New Roman"/>
      <family val="1"/>
    </font>
    <font>
      <i/>
      <u/>
      <sz val="11"/>
      <color rgb="FF353535"/>
      <name val="Georgia"/>
      <family val="1"/>
    </font>
    <font>
      <sz val="12"/>
      <color rgb="FF353535"/>
      <name val="Times New Roman"/>
    </font>
    <font>
      <b/>
      <sz val="12"/>
      <color rgb="FF353535"/>
      <name val="Times New Roman"/>
      <family val="1"/>
    </font>
    <font>
      <b/>
      <i/>
      <u/>
      <sz val="11"/>
      <color rgb="FF353535"/>
      <name val="Georgia"/>
      <family val="1"/>
    </font>
    <font>
      <b/>
      <i/>
      <sz val="11"/>
      <color rgb="FF353535"/>
      <name val="Georgia"/>
      <family val="1"/>
    </font>
    <font>
      <sz val="12"/>
      <color rgb="FF000000"/>
      <name val="Calibri"/>
      <family val="2"/>
      <scheme val="minor"/>
    </font>
    <font>
      <b/>
      <sz val="12"/>
      <color rgb="FF000000"/>
      <name val="Calibri"/>
      <family val="2"/>
      <scheme val="minor"/>
    </font>
  </fonts>
  <fills count="2">
    <fill>
      <patternFill patternType="none"/>
    </fill>
    <fill>
      <patternFill patternType="gray125"/>
    </fill>
  </fills>
  <borders count="1">
    <border>
      <left/>
      <right/>
      <top/>
      <bottom/>
      <diagonal/>
    </border>
  </borders>
  <cellStyleXfs count="381">
    <xf numFmtId="0" fontId="0" fillId="0" borderId="0"/>
    <xf numFmtId="0" fontId="4" fillId="0" borderId="0" applyNumberFormat="0" applyFill="0" applyBorder="0" applyAlignment="0" applyProtection="0"/>
    <xf numFmtId="0" fontId="5" fillId="0" borderId="0" applyNumberFormat="0" applyFill="0" applyBorder="0" applyAlignment="0" applyProtection="0"/>
    <xf numFmtId="44" fontId="2" fillId="0" borderId="0" applyFont="0" applyFill="0" applyBorder="0" applyAlignment="0" applyProtection="0"/>
    <xf numFmtId="9" fontId="2" fillId="0" borderId="0" applyFon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cellStyleXfs>
  <cellXfs count="58">
    <xf numFmtId="0" fontId="0" fillId="0" borderId="0" xfId="0"/>
    <xf numFmtId="0" fontId="3" fillId="0" borderId="0" xfId="0" applyFont="1"/>
    <xf numFmtId="44" fontId="0" fillId="0" borderId="0" xfId="3" applyFont="1"/>
    <xf numFmtId="10" fontId="6" fillId="0" borderId="0" xfId="0" applyNumberFormat="1" applyFont="1"/>
    <xf numFmtId="8" fontId="6" fillId="0" borderId="0" xfId="0" applyNumberFormat="1" applyFont="1"/>
    <xf numFmtId="10" fontId="0" fillId="0" borderId="0" xfId="4" applyNumberFormat="1" applyFont="1"/>
    <xf numFmtId="10" fontId="6" fillId="0" borderId="0" xfId="4" applyNumberFormat="1" applyFont="1"/>
    <xf numFmtId="164" fontId="0" fillId="0" borderId="0" xfId="4" applyNumberFormat="1" applyFont="1"/>
    <xf numFmtId="0" fontId="0" fillId="0" borderId="0" xfId="0" applyFont="1"/>
    <xf numFmtId="10" fontId="0" fillId="0" borderId="0" xfId="0" applyNumberFormat="1" applyFont="1"/>
    <xf numFmtId="165" fontId="0" fillId="0" borderId="0" xfId="0" applyNumberFormat="1" applyFont="1"/>
    <xf numFmtId="0" fontId="8" fillId="0" borderId="0" xfId="0" applyFont="1"/>
    <xf numFmtId="10" fontId="9" fillId="0" borderId="0" xfId="4" applyNumberFormat="1" applyFont="1"/>
    <xf numFmtId="44" fontId="2" fillId="0" borderId="0" xfId="3" applyFont="1"/>
    <xf numFmtId="8" fontId="0" fillId="0" borderId="0" xfId="0" applyNumberFormat="1" applyFont="1"/>
    <xf numFmtId="6" fontId="0" fillId="0" borderId="0" xfId="0" applyNumberFormat="1" applyFont="1"/>
    <xf numFmtId="9" fontId="0" fillId="0" borderId="0" xfId="0" applyNumberFormat="1" applyFont="1"/>
    <xf numFmtId="0" fontId="0" fillId="0" borderId="0" xfId="3" applyNumberFormat="1" applyFont="1"/>
    <xf numFmtId="0" fontId="0" fillId="0" borderId="0" xfId="0" applyNumberFormat="1" applyFont="1"/>
    <xf numFmtId="164" fontId="6" fillId="0" borderId="0" xfId="4" applyNumberFormat="1" applyFont="1"/>
    <xf numFmtId="2" fontId="6" fillId="0" borderId="0" xfId="4" applyNumberFormat="1" applyFont="1"/>
    <xf numFmtId="44" fontId="6" fillId="0" borderId="0" xfId="3" applyNumberFormat="1" applyFont="1" applyAlignment="1">
      <alignment horizontal="left"/>
    </xf>
    <xf numFmtId="44" fontId="6" fillId="0" borderId="0" xfId="3" applyFont="1"/>
    <xf numFmtId="0" fontId="6" fillId="0" borderId="0" xfId="0" applyFont="1"/>
    <xf numFmtId="0" fontId="3" fillId="0" borderId="0" xfId="0" applyFont="1" applyAlignment="1">
      <alignment wrapText="1"/>
    </xf>
    <xf numFmtId="165" fontId="0" fillId="0" borderId="0" xfId="4" applyNumberFormat="1" applyFont="1"/>
    <xf numFmtId="2" fontId="6" fillId="0" borderId="0" xfId="0" applyNumberFormat="1" applyFont="1"/>
    <xf numFmtId="10" fontId="6" fillId="0" borderId="0" xfId="3" applyNumberFormat="1" applyFont="1"/>
    <xf numFmtId="0" fontId="13" fillId="0" borderId="0" xfId="0" applyFont="1"/>
    <xf numFmtId="0" fontId="0" fillId="0" borderId="0" xfId="0" applyFont="1" applyAlignment="1">
      <alignment wrapText="1"/>
    </xf>
    <xf numFmtId="0" fontId="8" fillId="0" borderId="0" xfId="0" applyFont="1" applyAlignment="1">
      <alignment wrapText="1"/>
    </xf>
    <xf numFmtId="0" fontId="7" fillId="0" borderId="0" xfId="0" applyFont="1" applyAlignment="1">
      <alignment wrapText="1"/>
    </xf>
    <xf numFmtId="0" fontId="0" fillId="0" borderId="0" xfId="0" applyAlignment="1">
      <alignment wrapText="1"/>
    </xf>
    <xf numFmtId="9" fontId="3" fillId="0" borderId="0" xfId="0" applyNumberFormat="1" applyFont="1"/>
    <xf numFmtId="166" fontId="0" fillId="0" borderId="0" xfId="0" applyNumberFormat="1" applyFont="1"/>
    <xf numFmtId="0" fontId="15" fillId="0" borderId="0" xfId="0" applyFont="1"/>
    <xf numFmtId="10" fontId="3" fillId="0" borderId="0" xfId="0" applyNumberFormat="1" applyFont="1"/>
    <xf numFmtId="0" fontId="16" fillId="0" borderId="0" xfId="0" applyFont="1"/>
    <xf numFmtId="0" fontId="17" fillId="0" borderId="0" xfId="0" applyFont="1"/>
    <xf numFmtId="9" fontId="15" fillId="0" borderId="0" xfId="0" applyNumberFormat="1" applyFont="1"/>
    <xf numFmtId="167" fontId="0" fillId="0" borderId="0" xfId="0" applyNumberFormat="1" applyFont="1"/>
    <xf numFmtId="0" fontId="3" fillId="0" borderId="0" xfId="0" applyNumberFormat="1" applyFont="1"/>
    <xf numFmtId="0" fontId="19" fillId="0" borderId="0" xfId="0" applyFont="1"/>
    <xf numFmtId="0" fontId="22" fillId="0" borderId="0" xfId="0" applyFont="1"/>
    <xf numFmtId="9" fontId="0" fillId="0" borderId="0" xfId="0" applyNumberFormat="1"/>
    <xf numFmtId="165" fontId="6" fillId="0" borderId="0" xfId="0" applyNumberFormat="1" applyFont="1"/>
    <xf numFmtId="3" fontId="3" fillId="0" borderId="0" xfId="0" applyNumberFormat="1" applyFont="1"/>
    <xf numFmtId="0" fontId="23" fillId="0" borderId="0" xfId="0" applyFont="1"/>
    <xf numFmtId="9" fontId="0" fillId="0" borderId="0" xfId="4" applyFont="1"/>
    <xf numFmtId="10" fontId="0" fillId="0" borderId="0" xfId="0" applyNumberFormat="1"/>
    <xf numFmtId="167" fontId="0" fillId="0" borderId="0" xfId="0" applyNumberFormat="1"/>
    <xf numFmtId="0" fontId="14" fillId="0" borderId="0" xfId="0" applyFont="1"/>
    <xf numFmtId="0" fontId="25" fillId="0" borderId="0" xfId="0" applyFont="1"/>
    <xf numFmtId="10" fontId="1" fillId="0" borderId="0" xfId="3" applyNumberFormat="1" applyFont="1"/>
    <xf numFmtId="44" fontId="15" fillId="0" borderId="0" xfId="3" applyFont="1"/>
    <xf numFmtId="0" fontId="26" fillId="0" borderId="0" xfId="0" applyFont="1"/>
    <xf numFmtId="164" fontId="27" fillId="0" borderId="0" xfId="0" applyNumberFormat="1" applyFont="1"/>
    <xf numFmtId="0" fontId="0" fillId="0" borderId="0" xfId="4" applyNumberFormat="1" applyFont="1"/>
  </cellXfs>
  <cellStyles count="381">
    <cellStyle name="Currency" xfId="3" builtinId="4"/>
    <cellStyle name="Followed Hyperlink" xfId="2"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Followed Hyperlink" xfId="72" builtinId="9" hidden="1"/>
    <cellStyle name="Followed Hyperlink" xfId="74" builtinId="9" hidden="1"/>
    <cellStyle name="Followed Hyperlink" xfId="76" builtinId="9" hidden="1"/>
    <cellStyle name="Followed Hyperlink" xfId="78" builtinId="9" hidden="1"/>
    <cellStyle name="Followed Hyperlink" xfId="80" builtinId="9" hidden="1"/>
    <cellStyle name="Followed Hyperlink" xfId="82" builtinId="9" hidden="1"/>
    <cellStyle name="Followed Hyperlink" xfId="84" builtinId="9" hidden="1"/>
    <cellStyle name="Followed Hyperlink" xfId="86" builtinId="9" hidden="1"/>
    <cellStyle name="Followed Hyperlink" xfId="88" builtinId="9" hidden="1"/>
    <cellStyle name="Followed Hyperlink" xfId="90" builtinId="9" hidden="1"/>
    <cellStyle name="Followed Hyperlink" xfId="92" builtinId="9" hidden="1"/>
    <cellStyle name="Followed Hyperlink" xfId="94" builtinId="9" hidden="1"/>
    <cellStyle name="Followed Hyperlink" xfId="96" builtinId="9" hidden="1"/>
    <cellStyle name="Followed Hyperlink" xfId="98" builtinId="9" hidden="1"/>
    <cellStyle name="Followed Hyperlink" xfId="100" builtinId="9" hidden="1"/>
    <cellStyle name="Followed Hyperlink" xfId="102" builtinId="9" hidden="1"/>
    <cellStyle name="Followed Hyperlink" xfId="104" builtinId="9" hidden="1"/>
    <cellStyle name="Followed Hyperlink" xfId="106" builtinId="9" hidden="1"/>
    <cellStyle name="Followed Hyperlink" xfId="108" builtinId="9" hidden="1"/>
    <cellStyle name="Followed Hyperlink" xfId="110" builtinId="9" hidden="1"/>
    <cellStyle name="Followed Hyperlink" xfId="112" builtinId="9" hidden="1"/>
    <cellStyle name="Followed Hyperlink" xfId="114" builtinId="9" hidden="1"/>
    <cellStyle name="Followed Hyperlink" xfId="116" builtinId="9" hidden="1"/>
    <cellStyle name="Followed Hyperlink" xfId="118" builtinId="9" hidden="1"/>
    <cellStyle name="Followed Hyperlink" xfId="120" builtinId="9" hidden="1"/>
    <cellStyle name="Followed Hyperlink" xfId="122" builtinId="9" hidden="1"/>
    <cellStyle name="Followed Hyperlink" xfId="124" builtinId="9" hidden="1"/>
    <cellStyle name="Followed Hyperlink" xfId="126" builtinId="9" hidden="1"/>
    <cellStyle name="Followed Hyperlink" xfId="128" builtinId="9" hidden="1"/>
    <cellStyle name="Followed Hyperlink" xfId="130" builtinId="9" hidden="1"/>
    <cellStyle name="Followed Hyperlink" xfId="132" builtinId="9" hidden="1"/>
    <cellStyle name="Followed Hyperlink" xfId="134" builtinId="9" hidden="1"/>
    <cellStyle name="Followed Hyperlink" xfId="136" builtinId="9" hidden="1"/>
    <cellStyle name="Followed Hyperlink" xfId="138" builtinId="9" hidden="1"/>
    <cellStyle name="Followed Hyperlink" xfId="140" builtinId="9" hidden="1"/>
    <cellStyle name="Followed Hyperlink" xfId="142" builtinId="9" hidden="1"/>
    <cellStyle name="Followed Hyperlink" xfId="144" builtinId="9" hidden="1"/>
    <cellStyle name="Followed Hyperlink" xfId="146" builtinId="9" hidden="1"/>
    <cellStyle name="Followed Hyperlink" xfId="148" builtinId="9" hidden="1"/>
    <cellStyle name="Followed Hyperlink" xfId="150" builtinId="9" hidden="1"/>
    <cellStyle name="Followed Hyperlink" xfId="152" builtinId="9" hidden="1"/>
    <cellStyle name="Followed Hyperlink" xfId="154" builtinId="9" hidden="1"/>
    <cellStyle name="Followed Hyperlink" xfId="156" builtinId="9" hidden="1"/>
    <cellStyle name="Followed Hyperlink" xfId="158" builtinId="9" hidden="1"/>
    <cellStyle name="Followed Hyperlink" xfId="160" builtinId="9" hidden="1"/>
    <cellStyle name="Followed Hyperlink" xfId="162" builtinId="9" hidden="1"/>
    <cellStyle name="Followed Hyperlink" xfId="164" builtinId="9" hidden="1"/>
    <cellStyle name="Followed Hyperlink" xfId="166" builtinId="9" hidden="1"/>
    <cellStyle name="Followed Hyperlink" xfId="168" builtinId="9" hidden="1"/>
    <cellStyle name="Followed Hyperlink" xfId="170" builtinId="9" hidden="1"/>
    <cellStyle name="Followed Hyperlink" xfId="172" builtinId="9" hidden="1"/>
    <cellStyle name="Followed Hyperlink" xfId="174" builtinId="9" hidden="1"/>
    <cellStyle name="Followed Hyperlink" xfId="176" builtinId="9" hidden="1"/>
    <cellStyle name="Followed Hyperlink" xfId="178" builtinId="9" hidden="1"/>
    <cellStyle name="Followed Hyperlink" xfId="180" builtinId="9" hidden="1"/>
    <cellStyle name="Followed Hyperlink" xfId="182" builtinId="9" hidden="1"/>
    <cellStyle name="Followed Hyperlink" xfId="184" builtinId="9" hidden="1"/>
    <cellStyle name="Followed Hyperlink" xfId="186" builtinId="9" hidden="1"/>
    <cellStyle name="Followed Hyperlink" xfId="188" builtinId="9" hidden="1"/>
    <cellStyle name="Followed Hyperlink" xfId="190" builtinId="9" hidden="1"/>
    <cellStyle name="Followed Hyperlink" xfId="192" builtinId="9" hidden="1"/>
    <cellStyle name="Followed Hyperlink" xfId="194" builtinId="9" hidden="1"/>
    <cellStyle name="Followed Hyperlink" xfId="196" builtinId="9" hidden="1"/>
    <cellStyle name="Followed Hyperlink" xfId="198" builtinId="9" hidden="1"/>
    <cellStyle name="Followed Hyperlink" xfId="200" builtinId="9" hidden="1"/>
    <cellStyle name="Followed Hyperlink" xfId="202" builtinId="9" hidden="1"/>
    <cellStyle name="Followed Hyperlink" xfId="204" builtinId="9" hidden="1"/>
    <cellStyle name="Followed Hyperlink" xfId="206" builtinId="9" hidden="1"/>
    <cellStyle name="Followed Hyperlink" xfId="208" builtinId="9" hidden="1"/>
    <cellStyle name="Followed Hyperlink" xfId="210" builtinId="9" hidden="1"/>
    <cellStyle name="Followed Hyperlink" xfId="212" builtinId="9" hidden="1"/>
    <cellStyle name="Followed Hyperlink" xfId="214" builtinId="9" hidden="1"/>
    <cellStyle name="Followed Hyperlink" xfId="216" builtinId="9" hidden="1"/>
    <cellStyle name="Followed Hyperlink" xfId="218" builtinId="9" hidden="1"/>
    <cellStyle name="Followed Hyperlink" xfId="220" builtinId="9" hidden="1"/>
    <cellStyle name="Followed Hyperlink" xfId="222" builtinId="9" hidden="1"/>
    <cellStyle name="Followed Hyperlink" xfId="224" builtinId="9" hidden="1"/>
    <cellStyle name="Followed Hyperlink" xfId="226" builtinId="9" hidden="1"/>
    <cellStyle name="Followed Hyperlink" xfId="228" builtinId="9" hidden="1"/>
    <cellStyle name="Followed Hyperlink" xfId="230" builtinId="9" hidden="1"/>
    <cellStyle name="Followed Hyperlink" xfId="232" builtinId="9" hidden="1"/>
    <cellStyle name="Followed Hyperlink" xfId="234" builtinId="9" hidden="1"/>
    <cellStyle name="Followed Hyperlink" xfId="236" builtinId="9" hidden="1"/>
    <cellStyle name="Followed Hyperlink" xfId="238" builtinId="9" hidden="1"/>
    <cellStyle name="Followed Hyperlink" xfId="240" builtinId="9" hidden="1"/>
    <cellStyle name="Followed Hyperlink" xfId="242" builtinId="9" hidden="1"/>
    <cellStyle name="Followed Hyperlink" xfId="244" builtinId="9" hidden="1"/>
    <cellStyle name="Followed Hyperlink" xfId="246" builtinId="9" hidden="1"/>
    <cellStyle name="Followed Hyperlink" xfId="248" builtinId="9" hidden="1"/>
    <cellStyle name="Followed Hyperlink" xfId="250" builtinId="9" hidden="1"/>
    <cellStyle name="Followed Hyperlink" xfId="252" builtinId="9" hidden="1"/>
    <cellStyle name="Followed Hyperlink" xfId="254" builtinId="9" hidden="1"/>
    <cellStyle name="Followed Hyperlink" xfId="256" builtinId="9" hidden="1"/>
    <cellStyle name="Followed Hyperlink" xfId="258" builtinId="9" hidden="1"/>
    <cellStyle name="Followed Hyperlink" xfId="260" builtinId="9" hidden="1"/>
    <cellStyle name="Followed Hyperlink" xfId="262" builtinId="9" hidden="1"/>
    <cellStyle name="Followed Hyperlink" xfId="264" builtinId="9" hidden="1"/>
    <cellStyle name="Followed Hyperlink" xfId="266" builtinId="9" hidden="1"/>
    <cellStyle name="Followed Hyperlink" xfId="268" builtinId="9" hidden="1"/>
    <cellStyle name="Followed Hyperlink" xfId="270" builtinId="9" hidden="1"/>
    <cellStyle name="Followed Hyperlink" xfId="272" builtinId="9" hidden="1"/>
    <cellStyle name="Followed Hyperlink" xfId="274" builtinId="9" hidden="1"/>
    <cellStyle name="Followed Hyperlink" xfId="276" builtinId="9" hidden="1"/>
    <cellStyle name="Followed Hyperlink" xfId="278" builtinId="9" hidden="1"/>
    <cellStyle name="Followed Hyperlink" xfId="280" builtinId="9" hidden="1"/>
    <cellStyle name="Followed Hyperlink" xfId="282" builtinId="9" hidden="1"/>
    <cellStyle name="Followed Hyperlink" xfId="284" builtinId="9" hidden="1"/>
    <cellStyle name="Followed Hyperlink" xfId="286" builtinId="9" hidden="1"/>
    <cellStyle name="Followed Hyperlink" xfId="288" builtinId="9" hidden="1"/>
    <cellStyle name="Followed Hyperlink" xfId="290" builtinId="9" hidden="1"/>
    <cellStyle name="Followed Hyperlink" xfId="292" builtinId="9" hidden="1"/>
    <cellStyle name="Followed Hyperlink" xfId="294" builtinId="9" hidden="1"/>
    <cellStyle name="Followed Hyperlink" xfId="296" builtinId="9" hidden="1"/>
    <cellStyle name="Followed Hyperlink" xfId="298" builtinId="9" hidden="1"/>
    <cellStyle name="Followed Hyperlink" xfId="300" builtinId="9" hidden="1"/>
    <cellStyle name="Followed Hyperlink" xfId="302" builtinId="9" hidden="1"/>
    <cellStyle name="Followed Hyperlink" xfId="304" builtinId="9" hidden="1"/>
    <cellStyle name="Followed Hyperlink" xfId="306" builtinId="9" hidden="1"/>
    <cellStyle name="Followed Hyperlink" xfId="308" builtinId="9" hidden="1"/>
    <cellStyle name="Followed Hyperlink" xfId="310" builtinId="9" hidden="1"/>
    <cellStyle name="Followed Hyperlink" xfId="312" builtinId="9" hidden="1"/>
    <cellStyle name="Followed Hyperlink" xfId="314" builtinId="9" hidden="1"/>
    <cellStyle name="Followed Hyperlink" xfId="316" builtinId="9" hidden="1"/>
    <cellStyle name="Followed Hyperlink" xfId="318" builtinId="9" hidden="1"/>
    <cellStyle name="Followed Hyperlink" xfId="320" builtinId="9" hidden="1"/>
    <cellStyle name="Followed Hyperlink" xfId="322" builtinId="9" hidden="1"/>
    <cellStyle name="Followed Hyperlink" xfId="324" builtinId="9" hidden="1"/>
    <cellStyle name="Followed Hyperlink" xfId="326" builtinId="9" hidden="1"/>
    <cellStyle name="Followed Hyperlink" xfId="328" builtinId="9" hidden="1"/>
    <cellStyle name="Followed Hyperlink" xfId="330" builtinId="9" hidden="1"/>
    <cellStyle name="Followed Hyperlink" xfId="332" builtinId="9" hidden="1"/>
    <cellStyle name="Followed Hyperlink" xfId="334" builtinId="9" hidden="1"/>
    <cellStyle name="Followed Hyperlink" xfId="336" builtinId="9" hidden="1"/>
    <cellStyle name="Followed Hyperlink" xfId="338" builtinId="9" hidden="1"/>
    <cellStyle name="Followed Hyperlink" xfId="340" builtinId="9" hidden="1"/>
    <cellStyle name="Followed Hyperlink" xfId="342" builtinId="9" hidden="1"/>
    <cellStyle name="Followed Hyperlink" xfId="344" builtinId="9" hidden="1"/>
    <cellStyle name="Followed Hyperlink" xfId="346" builtinId="9" hidden="1"/>
    <cellStyle name="Followed Hyperlink" xfId="348" builtinId="9" hidden="1"/>
    <cellStyle name="Followed Hyperlink" xfId="350" builtinId="9" hidden="1"/>
    <cellStyle name="Followed Hyperlink" xfId="352" builtinId="9" hidden="1"/>
    <cellStyle name="Followed Hyperlink" xfId="353" builtinId="9" hidden="1"/>
    <cellStyle name="Followed Hyperlink" xfId="354" builtinId="9" hidden="1"/>
    <cellStyle name="Followed Hyperlink" xfId="355" builtinId="9" hidden="1"/>
    <cellStyle name="Followed Hyperlink" xfId="356" builtinId="9" hidden="1"/>
    <cellStyle name="Followed Hyperlink" xfId="357" builtinId="9" hidden="1"/>
    <cellStyle name="Followed Hyperlink" xfId="358" builtinId="9" hidden="1"/>
    <cellStyle name="Followed Hyperlink" xfId="359" builtinId="9" hidden="1"/>
    <cellStyle name="Followed Hyperlink" xfId="360" builtinId="9" hidden="1"/>
    <cellStyle name="Followed Hyperlink" xfId="361" builtinId="9" hidden="1"/>
    <cellStyle name="Followed Hyperlink" xfId="362" builtinId="9" hidden="1"/>
    <cellStyle name="Followed Hyperlink" xfId="363" builtinId="9" hidden="1"/>
    <cellStyle name="Followed Hyperlink" xfId="364" builtinId="9" hidden="1"/>
    <cellStyle name="Followed Hyperlink" xfId="365" builtinId="9" hidden="1"/>
    <cellStyle name="Followed Hyperlink" xfId="366" builtinId="9" hidden="1"/>
    <cellStyle name="Followed Hyperlink" xfId="367" builtinId="9" hidden="1"/>
    <cellStyle name="Followed Hyperlink" xfId="368" builtinId="9" hidden="1"/>
    <cellStyle name="Followed Hyperlink" xfId="369" builtinId="9" hidden="1"/>
    <cellStyle name="Followed Hyperlink" xfId="370" builtinId="9" hidden="1"/>
    <cellStyle name="Followed Hyperlink" xfId="371" builtinId="9" hidden="1"/>
    <cellStyle name="Followed Hyperlink" xfId="372" builtinId="9" hidden="1"/>
    <cellStyle name="Followed Hyperlink" xfId="373" builtinId="9" hidden="1"/>
    <cellStyle name="Followed Hyperlink" xfId="374" builtinId="9" hidden="1"/>
    <cellStyle name="Followed Hyperlink" xfId="375" builtinId="9" hidden="1"/>
    <cellStyle name="Followed Hyperlink" xfId="376" builtinId="9" hidden="1"/>
    <cellStyle name="Followed Hyperlink" xfId="377" builtinId="9" hidden="1"/>
    <cellStyle name="Followed Hyperlink" xfId="378" builtinId="9" hidden="1"/>
    <cellStyle name="Followed Hyperlink" xfId="379" builtinId="9" hidden="1"/>
    <cellStyle name="Followed Hyperlink" xfId="380" builtinId="9" hidden="1"/>
    <cellStyle name="Hyperlink" xfId="1"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Hyperlink" xfId="75" builtinId="8" hidden="1"/>
    <cellStyle name="Hyperlink" xfId="77" builtinId="8" hidden="1"/>
    <cellStyle name="Hyperlink" xfId="79" builtinId="8" hidden="1"/>
    <cellStyle name="Hyperlink" xfId="81" builtinId="8" hidden="1"/>
    <cellStyle name="Hyperlink" xfId="83" builtinId="8" hidden="1"/>
    <cellStyle name="Hyperlink" xfId="85" builtinId="8" hidden="1"/>
    <cellStyle name="Hyperlink" xfId="87" builtinId="8" hidden="1"/>
    <cellStyle name="Hyperlink" xfId="89" builtinId="8" hidden="1"/>
    <cellStyle name="Hyperlink" xfId="91" builtinId="8" hidden="1"/>
    <cellStyle name="Hyperlink" xfId="93" builtinId="8" hidden="1"/>
    <cellStyle name="Hyperlink" xfId="95" builtinId="8" hidden="1"/>
    <cellStyle name="Hyperlink" xfId="97" builtinId="8" hidden="1"/>
    <cellStyle name="Hyperlink" xfId="99" builtinId="8" hidden="1"/>
    <cellStyle name="Hyperlink" xfId="101" builtinId="8" hidden="1"/>
    <cellStyle name="Hyperlink" xfId="103" builtinId="8" hidden="1"/>
    <cellStyle name="Hyperlink" xfId="105" builtinId="8" hidden="1"/>
    <cellStyle name="Hyperlink" xfId="107" builtinId="8" hidden="1"/>
    <cellStyle name="Hyperlink" xfId="109" builtinId="8" hidden="1"/>
    <cellStyle name="Hyperlink" xfId="111" builtinId="8" hidden="1"/>
    <cellStyle name="Hyperlink" xfId="113" builtinId="8" hidden="1"/>
    <cellStyle name="Hyperlink" xfId="115" builtinId="8" hidden="1"/>
    <cellStyle name="Hyperlink" xfId="117" builtinId="8" hidden="1"/>
    <cellStyle name="Hyperlink" xfId="119" builtinId="8" hidden="1"/>
    <cellStyle name="Hyperlink" xfId="121" builtinId="8" hidden="1"/>
    <cellStyle name="Hyperlink" xfId="123" builtinId="8" hidden="1"/>
    <cellStyle name="Hyperlink" xfId="125" builtinId="8" hidden="1"/>
    <cellStyle name="Hyperlink" xfId="127" builtinId="8" hidden="1"/>
    <cellStyle name="Hyperlink" xfId="129" builtinId="8" hidden="1"/>
    <cellStyle name="Hyperlink" xfId="131" builtinId="8" hidden="1"/>
    <cellStyle name="Hyperlink" xfId="133" builtinId="8" hidden="1"/>
    <cellStyle name="Hyperlink" xfId="135" builtinId="8" hidden="1"/>
    <cellStyle name="Hyperlink" xfId="137" builtinId="8" hidden="1"/>
    <cellStyle name="Hyperlink" xfId="139" builtinId="8" hidden="1"/>
    <cellStyle name="Hyperlink" xfId="141" builtinId="8" hidden="1"/>
    <cellStyle name="Hyperlink" xfId="143" builtinId="8" hidden="1"/>
    <cellStyle name="Hyperlink" xfId="145" builtinId="8" hidden="1"/>
    <cellStyle name="Hyperlink" xfId="147" builtinId="8" hidden="1"/>
    <cellStyle name="Hyperlink" xfId="149" builtinId="8" hidden="1"/>
    <cellStyle name="Hyperlink" xfId="151" builtinId="8" hidden="1"/>
    <cellStyle name="Hyperlink" xfId="153" builtinId="8" hidden="1"/>
    <cellStyle name="Hyperlink" xfId="155" builtinId="8" hidden="1"/>
    <cellStyle name="Hyperlink" xfId="157" builtinId="8" hidden="1"/>
    <cellStyle name="Hyperlink" xfId="159" builtinId="8" hidden="1"/>
    <cellStyle name="Hyperlink" xfId="161" builtinId="8" hidden="1"/>
    <cellStyle name="Hyperlink" xfId="163" builtinId="8" hidden="1"/>
    <cellStyle name="Hyperlink" xfId="165" builtinId="8" hidden="1"/>
    <cellStyle name="Hyperlink" xfId="167" builtinId="8" hidden="1"/>
    <cellStyle name="Hyperlink" xfId="169" builtinId="8" hidden="1"/>
    <cellStyle name="Hyperlink" xfId="171" builtinId="8" hidden="1"/>
    <cellStyle name="Hyperlink" xfId="173" builtinId="8" hidden="1"/>
    <cellStyle name="Hyperlink" xfId="175" builtinId="8" hidden="1"/>
    <cellStyle name="Hyperlink" xfId="177" builtinId="8" hidden="1"/>
    <cellStyle name="Hyperlink" xfId="179" builtinId="8" hidden="1"/>
    <cellStyle name="Hyperlink" xfId="181" builtinId="8" hidden="1"/>
    <cellStyle name="Hyperlink" xfId="183" builtinId="8" hidden="1"/>
    <cellStyle name="Hyperlink" xfId="185" builtinId="8" hidden="1"/>
    <cellStyle name="Hyperlink" xfId="187" builtinId="8" hidden="1"/>
    <cellStyle name="Hyperlink" xfId="189" builtinId="8" hidden="1"/>
    <cellStyle name="Hyperlink" xfId="191" builtinId="8" hidden="1"/>
    <cellStyle name="Hyperlink" xfId="193" builtinId="8" hidden="1"/>
    <cellStyle name="Hyperlink" xfId="195" builtinId="8" hidden="1"/>
    <cellStyle name="Hyperlink" xfId="197" builtinId="8" hidden="1"/>
    <cellStyle name="Hyperlink" xfId="199" builtinId="8" hidden="1"/>
    <cellStyle name="Hyperlink" xfId="201" builtinId="8" hidden="1"/>
    <cellStyle name="Hyperlink" xfId="203" builtinId="8" hidden="1"/>
    <cellStyle name="Hyperlink" xfId="205" builtinId="8" hidden="1"/>
    <cellStyle name="Hyperlink" xfId="207" builtinId="8" hidden="1"/>
    <cellStyle name="Hyperlink" xfId="209" builtinId="8" hidden="1"/>
    <cellStyle name="Hyperlink" xfId="211" builtinId="8" hidden="1"/>
    <cellStyle name="Hyperlink" xfId="213" builtinId="8" hidden="1"/>
    <cellStyle name="Hyperlink" xfId="215" builtinId="8" hidden="1"/>
    <cellStyle name="Hyperlink" xfId="217" builtinId="8" hidden="1"/>
    <cellStyle name="Hyperlink" xfId="219" builtinId="8" hidden="1"/>
    <cellStyle name="Hyperlink" xfId="221" builtinId="8" hidden="1"/>
    <cellStyle name="Hyperlink" xfId="223" builtinId="8" hidden="1"/>
    <cellStyle name="Hyperlink" xfId="225" builtinId="8" hidden="1"/>
    <cellStyle name="Hyperlink" xfId="227" builtinId="8" hidden="1"/>
    <cellStyle name="Hyperlink" xfId="229" builtinId="8" hidden="1"/>
    <cellStyle name="Hyperlink" xfId="231" builtinId="8" hidden="1"/>
    <cellStyle name="Hyperlink" xfId="233" builtinId="8" hidden="1"/>
    <cellStyle name="Hyperlink" xfId="235" builtinId="8" hidden="1"/>
    <cellStyle name="Hyperlink" xfId="237" builtinId="8" hidden="1"/>
    <cellStyle name="Hyperlink" xfId="239" builtinId="8" hidden="1"/>
    <cellStyle name="Hyperlink" xfId="241" builtinId="8" hidden="1"/>
    <cellStyle name="Hyperlink" xfId="243" builtinId="8" hidden="1"/>
    <cellStyle name="Hyperlink" xfId="245" builtinId="8" hidden="1"/>
    <cellStyle name="Hyperlink" xfId="247" builtinId="8" hidden="1"/>
    <cellStyle name="Hyperlink" xfId="249" builtinId="8" hidden="1"/>
    <cellStyle name="Hyperlink" xfId="251" builtinId="8" hidden="1"/>
    <cellStyle name="Hyperlink" xfId="253" builtinId="8" hidden="1"/>
    <cellStyle name="Hyperlink" xfId="255" builtinId="8" hidden="1"/>
    <cellStyle name="Hyperlink" xfId="257" builtinId="8" hidden="1"/>
    <cellStyle name="Hyperlink" xfId="259" builtinId="8" hidden="1"/>
    <cellStyle name="Hyperlink" xfId="261" builtinId="8" hidden="1"/>
    <cellStyle name="Hyperlink" xfId="263" builtinId="8" hidden="1"/>
    <cellStyle name="Hyperlink" xfId="265" builtinId="8" hidden="1"/>
    <cellStyle name="Hyperlink" xfId="267" builtinId="8" hidden="1"/>
    <cellStyle name="Hyperlink" xfId="269" builtinId="8" hidden="1"/>
    <cellStyle name="Hyperlink" xfId="271" builtinId="8" hidden="1"/>
    <cellStyle name="Hyperlink" xfId="273" builtinId="8" hidden="1"/>
    <cellStyle name="Hyperlink" xfId="275" builtinId="8" hidden="1"/>
    <cellStyle name="Hyperlink" xfId="277" builtinId="8" hidden="1"/>
    <cellStyle name="Hyperlink" xfId="279" builtinId="8" hidden="1"/>
    <cellStyle name="Hyperlink" xfId="281" builtinId="8" hidden="1"/>
    <cellStyle name="Hyperlink" xfId="283" builtinId="8" hidden="1"/>
    <cellStyle name="Hyperlink" xfId="285" builtinId="8" hidden="1"/>
    <cellStyle name="Hyperlink" xfId="287" builtinId="8" hidden="1"/>
    <cellStyle name="Hyperlink" xfId="289" builtinId="8" hidden="1"/>
    <cellStyle name="Hyperlink" xfId="291" builtinId="8" hidden="1"/>
    <cellStyle name="Hyperlink" xfId="293" builtinId="8" hidden="1"/>
    <cellStyle name="Hyperlink" xfId="295" builtinId="8" hidden="1"/>
    <cellStyle name="Hyperlink" xfId="297" builtinId="8" hidden="1"/>
    <cellStyle name="Hyperlink" xfId="299" builtinId="8" hidden="1"/>
    <cellStyle name="Hyperlink" xfId="301" builtinId="8" hidden="1"/>
    <cellStyle name="Hyperlink" xfId="303" builtinId="8" hidden="1"/>
    <cellStyle name="Hyperlink" xfId="305" builtinId="8" hidden="1"/>
    <cellStyle name="Hyperlink" xfId="307" builtinId="8" hidden="1"/>
    <cellStyle name="Hyperlink" xfId="309" builtinId="8" hidden="1"/>
    <cellStyle name="Hyperlink" xfId="311" builtinId="8" hidden="1"/>
    <cellStyle name="Hyperlink" xfId="313" builtinId="8" hidden="1"/>
    <cellStyle name="Hyperlink" xfId="315" builtinId="8" hidden="1"/>
    <cellStyle name="Hyperlink" xfId="317" builtinId="8" hidden="1"/>
    <cellStyle name="Hyperlink" xfId="319" builtinId="8" hidden="1"/>
    <cellStyle name="Hyperlink" xfId="321" builtinId="8" hidden="1"/>
    <cellStyle name="Hyperlink" xfId="323" builtinId="8" hidden="1"/>
    <cellStyle name="Hyperlink" xfId="325" builtinId="8" hidden="1"/>
    <cellStyle name="Hyperlink" xfId="327" builtinId="8" hidden="1"/>
    <cellStyle name="Hyperlink" xfId="329" builtinId="8" hidden="1"/>
    <cellStyle name="Hyperlink" xfId="331" builtinId="8" hidden="1"/>
    <cellStyle name="Hyperlink" xfId="333" builtinId="8" hidden="1"/>
    <cellStyle name="Hyperlink" xfId="335" builtinId="8" hidden="1"/>
    <cellStyle name="Hyperlink" xfId="337" builtinId="8" hidden="1"/>
    <cellStyle name="Hyperlink" xfId="339" builtinId="8" hidden="1"/>
    <cellStyle name="Hyperlink" xfId="341" builtinId="8" hidden="1"/>
    <cellStyle name="Hyperlink" xfId="343" builtinId="8" hidden="1"/>
    <cellStyle name="Hyperlink" xfId="345" builtinId="8" hidden="1"/>
    <cellStyle name="Hyperlink" xfId="347" builtinId="8" hidden="1"/>
    <cellStyle name="Hyperlink" xfId="349" builtinId="8" hidden="1"/>
    <cellStyle name="Hyperlink" xfId="351" builtinId="8" hidden="1"/>
    <cellStyle name="Normal" xfId="0" builtinId="0"/>
    <cellStyle name="Percent" xfId="4" builtinId="5"/>
  </cellStyles>
  <dxfs count="0"/>
  <tableStyles count="0" defaultTableStyle="TableStyleMedium9" defaultPivotStyle="PivotStyleMedium4"/>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4" Type="http://schemas.openxmlformats.org/officeDocument/2006/relationships/styles" Target="styles.xml"/><Relationship Id="rId5" Type="http://schemas.openxmlformats.org/officeDocument/2006/relationships/sharedStrings" Target="sharedStrings.xml"/><Relationship Id="rId6"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85"/>
  <sheetViews>
    <sheetView topLeftCell="A148" workbookViewId="0">
      <selection activeCell="B46" sqref="B46"/>
    </sheetView>
  </sheetViews>
  <sheetFormatPr baseColWidth="10" defaultRowHeight="15" x14ac:dyDescent="0"/>
  <cols>
    <col min="1" max="1" width="9" style="8" customWidth="1"/>
    <col min="2" max="2" width="72.6640625" style="29" customWidth="1"/>
    <col min="3" max="3" width="19.6640625" style="8" customWidth="1"/>
    <col min="4" max="4" width="12.6640625" style="8" customWidth="1"/>
    <col min="5" max="5" width="19.33203125" style="8" customWidth="1"/>
    <col min="6" max="16384" width="10.83203125" style="8"/>
  </cols>
  <sheetData>
    <row r="1" spans="1:3">
      <c r="A1" s="8" t="s">
        <v>0</v>
      </c>
    </row>
    <row r="2" spans="1:3">
      <c r="A2" s="8">
        <v>1</v>
      </c>
    </row>
    <row r="3" spans="1:3">
      <c r="A3" s="8">
        <v>2</v>
      </c>
      <c r="B3" s="30" t="s">
        <v>29</v>
      </c>
      <c r="C3" s="8" t="s">
        <v>30</v>
      </c>
    </row>
    <row r="4" spans="1:3" ht="30">
      <c r="A4" s="8">
        <v>3</v>
      </c>
      <c r="B4" s="30" t="s">
        <v>1</v>
      </c>
      <c r="C4" s="8" t="s">
        <v>2</v>
      </c>
    </row>
    <row r="5" spans="1:3" ht="30">
      <c r="A5" s="8">
        <v>4</v>
      </c>
      <c r="B5" s="30" t="s">
        <v>3</v>
      </c>
      <c r="C5" s="8" t="s">
        <v>4</v>
      </c>
    </row>
    <row r="6" spans="1:3">
      <c r="A6" s="8">
        <v>5</v>
      </c>
      <c r="B6" s="30" t="s">
        <v>5</v>
      </c>
      <c r="C6" s="8" t="s">
        <v>6</v>
      </c>
    </row>
    <row r="7" spans="1:3">
      <c r="A7" s="8">
        <v>6</v>
      </c>
      <c r="B7" s="30" t="s">
        <v>7</v>
      </c>
      <c r="C7" s="11" t="s">
        <v>8</v>
      </c>
    </row>
    <row r="8" spans="1:3">
      <c r="A8" s="8">
        <v>7</v>
      </c>
      <c r="B8" s="30" t="s">
        <v>9</v>
      </c>
      <c r="C8" s="8" t="s">
        <v>10</v>
      </c>
    </row>
    <row r="9" spans="1:3">
      <c r="A9" s="8">
        <v>8</v>
      </c>
      <c r="B9" s="30" t="s">
        <v>11</v>
      </c>
      <c r="C9" s="8" t="s">
        <v>12</v>
      </c>
    </row>
    <row r="10" spans="1:3" ht="30">
      <c r="A10" s="8">
        <v>9</v>
      </c>
      <c r="B10" s="30" t="s">
        <v>13</v>
      </c>
      <c r="C10" s="8" t="s">
        <v>14</v>
      </c>
    </row>
    <row r="11" spans="1:3" ht="30">
      <c r="A11" s="8">
        <v>10</v>
      </c>
      <c r="B11" s="30" t="s">
        <v>15</v>
      </c>
      <c r="C11" s="8" t="s">
        <v>16</v>
      </c>
    </row>
    <row r="12" spans="1:3">
      <c r="A12" s="8">
        <v>11</v>
      </c>
      <c r="B12" s="30" t="s">
        <v>17</v>
      </c>
      <c r="C12" s="8" t="s">
        <v>18</v>
      </c>
    </row>
    <row r="13" spans="1:3" ht="30">
      <c r="A13" s="8">
        <v>12</v>
      </c>
      <c r="B13" s="30" t="s">
        <v>19</v>
      </c>
      <c r="C13" s="8" t="s">
        <v>20</v>
      </c>
    </row>
    <row r="14" spans="1:3" ht="30">
      <c r="A14" s="8">
        <v>13</v>
      </c>
      <c r="B14" s="30" t="s">
        <v>21</v>
      </c>
      <c r="C14" s="8" t="s">
        <v>22</v>
      </c>
    </row>
    <row r="15" spans="1:3" ht="30">
      <c r="A15" s="8">
        <v>14</v>
      </c>
      <c r="B15" s="30" t="s">
        <v>23</v>
      </c>
      <c r="C15" s="8" t="s">
        <v>24</v>
      </c>
    </row>
    <row r="16" spans="1:3" ht="30">
      <c r="A16" s="8">
        <v>15</v>
      </c>
      <c r="B16" s="30" t="s">
        <v>25</v>
      </c>
      <c r="C16" s="8" t="s">
        <v>26</v>
      </c>
    </row>
    <row r="17" spans="1:5">
      <c r="A17" s="8">
        <v>16</v>
      </c>
      <c r="B17" s="30" t="s">
        <v>27</v>
      </c>
      <c r="C17" s="8" t="s">
        <v>28</v>
      </c>
    </row>
    <row r="19" spans="1:5">
      <c r="A19" s="8" t="s">
        <v>31</v>
      </c>
    </row>
    <row r="20" spans="1:5" ht="53">
      <c r="A20" s="8">
        <v>1</v>
      </c>
      <c r="B20" s="24" t="s">
        <v>72</v>
      </c>
    </row>
    <row r="21" spans="1:5">
      <c r="B21" s="30" t="s">
        <v>35</v>
      </c>
      <c r="C21" s="8" t="s">
        <v>32</v>
      </c>
      <c r="D21" s="2">
        <v>13426</v>
      </c>
    </row>
    <row r="22" spans="1:5">
      <c r="B22" s="30" t="s">
        <v>36</v>
      </c>
      <c r="C22" s="8" t="s">
        <v>33</v>
      </c>
      <c r="D22" s="2">
        <v>24971</v>
      </c>
    </row>
    <row r="23" spans="1:5">
      <c r="C23" s="8" t="s">
        <v>34</v>
      </c>
      <c r="D23" s="8">
        <v>10</v>
      </c>
    </row>
    <row r="24" spans="1:5">
      <c r="D24" s="3">
        <f>RATE(D23,0,-D22,D21,0)</f>
        <v>-6.0166176261578476E-2</v>
      </c>
    </row>
    <row r="25" spans="1:5" ht="27">
      <c r="A25" s="8">
        <v>2</v>
      </c>
      <c r="B25" s="24" t="s">
        <v>73</v>
      </c>
    </row>
    <row r="26" spans="1:5">
      <c r="C26" s="8" t="s">
        <v>32</v>
      </c>
      <c r="D26" s="8" t="s">
        <v>39</v>
      </c>
    </row>
    <row r="27" spans="1:5">
      <c r="C27" s="8" t="s">
        <v>33</v>
      </c>
      <c r="D27" s="8">
        <v>9244</v>
      </c>
    </row>
    <row r="28" spans="1:5">
      <c r="C28" s="8" t="s">
        <v>34</v>
      </c>
      <c r="D28" s="8">
        <v>12</v>
      </c>
      <c r="E28" s="8">
        <f>D28*365</f>
        <v>4380</v>
      </c>
    </row>
    <row r="29" spans="1:5">
      <c r="C29" s="8" t="s">
        <v>37</v>
      </c>
      <c r="D29" s="9">
        <v>4.4900000000000002E-2</v>
      </c>
      <c r="E29" s="10">
        <f>D29/365</f>
        <v>1.23013698630137E-4</v>
      </c>
    </row>
    <row r="30" spans="1:5">
      <c r="C30" s="8" t="s">
        <v>38</v>
      </c>
      <c r="D30" s="4">
        <f>FV(E29,E28,0,-D27)</f>
        <v>15843.218521566945</v>
      </c>
    </row>
    <row r="31" spans="1:5">
      <c r="A31" s="8">
        <v>3</v>
      </c>
      <c r="B31" s="30" t="s">
        <v>40</v>
      </c>
      <c r="C31" s="8" t="s">
        <v>41</v>
      </c>
      <c r="D31" s="1" t="s">
        <v>74</v>
      </c>
      <c r="E31" s="8" t="s">
        <v>75</v>
      </c>
    </row>
    <row r="32" spans="1:5">
      <c r="A32" s="8">
        <v>4</v>
      </c>
      <c r="B32" s="30" t="s">
        <v>42</v>
      </c>
      <c r="C32" s="11" t="s">
        <v>43</v>
      </c>
      <c r="D32" s="1" t="s">
        <v>76</v>
      </c>
      <c r="E32" s="8" t="s">
        <v>77</v>
      </c>
    </row>
    <row r="33" spans="1:7">
      <c r="A33" s="8">
        <v>5</v>
      </c>
      <c r="B33" s="30" t="s">
        <v>44</v>
      </c>
      <c r="C33" s="8" t="s">
        <v>69</v>
      </c>
      <c r="D33" s="1" t="s">
        <v>78</v>
      </c>
      <c r="E33" s="8" t="s">
        <v>79</v>
      </c>
    </row>
    <row r="34" spans="1:7" ht="30">
      <c r="A34" s="8">
        <v>6</v>
      </c>
      <c r="B34" s="30" t="s">
        <v>45</v>
      </c>
      <c r="C34" s="8" t="s">
        <v>46</v>
      </c>
      <c r="D34" s="1" t="s">
        <v>80</v>
      </c>
      <c r="E34" s="8" t="s">
        <v>81</v>
      </c>
    </row>
    <row r="35" spans="1:7">
      <c r="A35" s="8">
        <v>7</v>
      </c>
      <c r="B35" s="30" t="s">
        <v>47</v>
      </c>
    </row>
    <row r="36" spans="1:7">
      <c r="B36" s="30" t="s">
        <v>56</v>
      </c>
      <c r="C36" s="8" t="s">
        <v>48</v>
      </c>
      <c r="D36" s="8" t="s">
        <v>50</v>
      </c>
      <c r="E36" s="8" t="s">
        <v>51</v>
      </c>
      <c r="G36" s="5"/>
    </row>
    <row r="37" spans="1:7">
      <c r="C37" s="8" t="s">
        <v>49</v>
      </c>
      <c r="D37" s="8">
        <v>91</v>
      </c>
      <c r="E37" s="8">
        <v>99.071399999999997</v>
      </c>
    </row>
    <row r="38" spans="1:7">
      <c r="D38" s="8" t="s">
        <v>52</v>
      </c>
      <c r="E38" s="19">
        <f>((100-E37)/100)*(360/D37)</f>
        <v>3.67358241758243E-2</v>
      </c>
    </row>
    <row r="39" spans="1:7">
      <c r="A39" s="8">
        <v>8</v>
      </c>
      <c r="B39" s="30" t="s">
        <v>53</v>
      </c>
    </row>
    <row r="40" spans="1:7">
      <c r="B40" s="30" t="s">
        <v>57</v>
      </c>
      <c r="C40" s="8" t="s">
        <v>54</v>
      </c>
      <c r="D40" s="8" t="s">
        <v>55</v>
      </c>
      <c r="E40" s="8" t="s">
        <v>51</v>
      </c>
    </row>
    <row r="41" spans="1:7">
      <c r="C41" s="8" t="s">
        <v>49</v>
      </c>
      <c r="D41" s="8">
        <v>14</v>
      </c>
      <c r="E41" s="11">
        <v>99.869600000000005</v>
      </c>
    </row>
    <row r="42" spans="1:7">
      <c r="D42" s="8" t="s">
        <v>52</v>
      </c>
      <c r="E42" s="19">
        <f>((100-E41)/E41)*(365/D41)</f>
        <v>3.4041533016194545E-2</v>
      </c>
      <c r="F42" s="7"/>
    </row>
    <row r="43" spans="1:7">
      <c r="A43" s="8">
        <v>9</v>
      </c>
      <c r="B43" s="30" t="s">
        <v>58</v>
      </c>
      <c r="C43" s="8" t="s">
        <v>59</v>
      </c>
      <c r="D43" s="1" t="s">
        <v>82</v>
      </c>
      <c r="E43" s="8" t="s">
        <v>83</v>
      </c>
    </row>
    <row r="44" spans="1:7" ht="36">
      <c r="A44" s="8">
        <v>10</v>
      </c>
      <c r="B44" s="31" t="s">
        <v>84</v>
      </c>
    </row>
    <row r="45" spans="1:7">
      <c r="B45" s="30" t="s">
        <v>61</v>
      </c>
      <c r="C45" s="11" t="s">
        <v>60</v>
      </c>
    </row>
    <row r="46" spans="1:7">
      <c r="C46" s="11" t="s">
        <v>85</v>
      </c>
      <c r="D46" s="8">
        <f>365/91</f>
        <v>4.0109890109890109</v>
      </c>
    </row>
    <row r="47" spans="1:7">
      <c r="C47" s="11" t="s">
        <v>86</v>
      </c>
    </row>
    <row r="48" spans="1:7">
      <c r="C48" s="11" t="s">
        <v>87</v>
      </c>
    </row>
    <row r="49" spans="1:6">
      <c r="C49" s="8">
        <f>3.33%/4.010989011</f>
        <v>8.3021917807991723E-3</v>
      </c>
    </row>
    <row r="50" spans="1:6">
      <c r="C50" s="11" t="s">
        <v>88</v>
      </c>
    </row>
    <row r="51" spans="1:6">
      <c r="C51" s="13">
        <f>100/(1+C49)</f>
        <v>99.176616707920033</v>
      </c>
    </row>
    <row r="52" spans="1:6">
      <c r="B52" s="29" t="s">
        <v>62</v>
      </c>
      <c r="C52" s="12">
        <f>((100-C51)/100)*(360/91)</f>
        <v>3.2573404961405296E-2</v>
      </c>
    </row>
    <row r="53" spans="1:6" ht="27">
      <c r="A53" s="8">
        <v>11</v>
      </c>
      <c r="B53" s="24" t="s">
        <v>89</v>
      </c>
    </row>
    <row r="54" spans="1:6">
      <c r="C54" s="8" t="s">
        <v>63</v>
      </c>
      <c r="D54" s="8">
        <v>27</v>
      </c>
      <c r="E54" s="8">
        <f>D54*12</f>
        <v>324</v>
      </c>
    </row>
    <row r="55" spans="1:6">
      <c r="C55" s="8" t="s">
        <v>32</v>
      </c>
      <c r="D55" s="2">
        <v>229540</v>
      </c>
    </row>
    <row r="56" spans="1:6">
      <c r="C56" s="8" t="s">
        <v>37</v>
      </c>
      <c r="D56" s="9">
        <v>0.1003</v>
      </c>
      <c r="E56" s="5">
        <f>D56/12</f>
        <v>8.3583333333333339E-3</v>
      </c>
    </row>
    <row r="57" spans="1:6">
      <c r="C57" s="8" t="s">
        <v>65</v>
      </c>
      <c r="D57" s="8" t="s">
        <v>64</v>
      </c>
    </row>
    <row r="58" spans="1:6">
      <c r="C58" s="14"/>
      <c r="E58" s="4">
        <f>PMT(E56,E54,D55)</f>
        <v>-2057.2685069088361</v>
      </c>
      <c r="F58" s="14"/>
    </row>
    <row r="59" spans="1:6" ht="40">
      <c r="A59" s="8">
        <v>12</v>
      </c>
      <c r="B59" s="24" t="s">
        <v>90</v>
      </c>
    </row>
    <row r="60" spans="1:6">
      <c r="C60" s="8" t="s">
        <v>37</v>
      </c>
      <c r="D60" s="9">
        <v>0.1356</v>
      </c>
      <c r="E60" s="5">
        <f>D60/12</f>
        <v>1.1299999999999999E-2</v>
      </c>
    </row>
    <row r="61" spans="1:6">
      <c r="C61" s="8" t="s">
        <v>33</v>
      </c>
      <c r="D61" s="15">
        <v>3745</v>
      </c>
    </row>
    <row r="62" spans="1:6">
      <c r="C62" s="8" t="s">
        <v>66</v>
      </c>
      <c r="D62" s="15">
        <v>444</v>
      </c>
      <c r="E62" s="15"/>
    </row>
    <row r="63" spans="1:6">
      <c r="C63" s="8" t="s">
        <v>63</v>
      </c>
      <c r="D63" s="8">
        <v>11</v>
      </c>
      <c r="E63" s="8">
        <f>D63*12</f>
        <v>132</v>
      </c>
    </row>
    <row r="64" spans="1:6">
      <c r="D64" s="8" t="s">
        <v>32</v>
      </c>
      <c r="E64" s="4">
        <f>FV(E60,E63,D62,D61)</f>
        <v>-150379.99930949832</v>
      </c>
    </row>
    <row r="65" spans="1:6" ht="27">
      <c r="A65" s="8">
        <v>13</v>
      </c>
      <c r="B65" s="24" t="s">
        <v>67</v>
      </c>
      <c r="E65" s="1" t="s">
        <v>91</v>
      </c>
      <c r="F65" s="8" t="s">
        <v>92</v>
      </c>
    </row>
    <row r="66" spans="1:6">
      <c r="C66" s="8" t="s">
        <v>66</v>
      </c>
      <c r="D66" s="15">
        <v>1000</v>
      </c>
    </row>
    <row r="67" spans="1:6">
      <c r="C67" s="8" t="s">
        <v>63</v>
      </c>
      <c r="D67" s="8">
        <v>13</v>
      </c>
    </row>
    <row r="68" spans="1:6">
      <c r="C68" s="8" t="s">
        <v>37</v>
      </c>
      <c r="D68" s="16">
        <v>0.06</v>
      </c>
    </row>
    <row r="69" spans="1:6">
      <c r="D69" s="16">
        <v>0.04</v>
      </c>
    </row>
    <row r="70" spans="1:6">
      <c r="D70" s="14">
        <f>PV(D68,D67,D66)</f>
        <v>-8852.6829626257804</v>
      </c>
      <c r="E70" s="14">
        <f>PV(D69,D67,D66)</f>
        <v>-9985.6478466330482</v>
      </c>
      <c r="F70" s="8" t="s">
        <v>71</v>
      </c>
    </row>
    <row r="71" spans="1:6">
      <c r="C71" s="8" t="s">
        <v>70</v>
      </c>
    </row>
    <row r="72" spans="1:6" ht="40">
      <c r="A72" s="8">
        <v>14</v>
      </c>
      <c r="B72" s="24" t="s">
        <v>93</v>
      </c>
    </row>
    <row r="73" spans="1:6">
      <c r="C73" s="8" t="s">
        <v>63</v>
      </c>
      <c r="D73" s="8">
        <v>8</v>
      </c>
      <c r="E73" s="8">
        <f>D73*12</f>
        <v>96</v>
      </c>
    </row>
    <row r="74" spans="1:6">
      <c r="C74" s="8" t="s">
        <v>68</v>
      </c>
      <c r="D74" s="9">
        <v>0.104</v>
      </c>
      <c r="E74" s="5">
        <f>D74/12</f>
        <v>8.6666666666666663E-3</v>
      </c>
    </row>
    <row r="75" spans="1:6">
      <c r="C75" s="8" t="s">
        <v>66</v>
      </c>
      <c r="D75" s="2">
        <v>608</v>
      </c>
    </row>
    <row r="76" spans="1:6">
      <c r="C76" s="8" t="s">
        <v>32</v>
      </c>
      <c r="D76" s="2">
        <v>1146</v>
      </c>
    </row>
    <row r="77" spans="1:6">
      <c r="E77" s="4">
        <f>PV(E74,E73,D75,D76)</f>
        <v>-40015.303258156906</v>
      </c>
    </row>
    <row r="78" spans="1:6" ht="27">
      <c r="A78" s="8">
        <v>15</v>
      </c>
      <c r="B78" s="24" t="s">
        <v>94</v>
      </c>
    </row>
    <row r="79" spans="1:6">
      <c r="C79" s="8" t="s">
        <v>68</v>
      </c>
      <c r="D79" s="9">
        <v>5.2699999999999997E-2</v>
      </c>
      <c r="E79" s="5">
        <f>D79/12</f>
        <v>4.3916666666666661E-3</v>
      </c>
    </row>
    <row r="80" spans="1:6">
      <c r="C80" s="8" t="s">
        <v>32</v>
      </c>
      <c r="D80" s="2">
        <v>25755</v>
      </c>
    </row>
    <row r="81" spans="1:5">
      <c r="C81" s="8" t="s">
        <v>66</v>
      </c>
      <c r="D81" s="2">
        <v>586</v>
      </c>
    </row>
    <row r="82" spans="1:5">
      <c r="D82" s="8">
        <f>-NPER(E79,D81,,D80)</f>
        <v>48.93859377711442</v>
      </c>
      <c r="E82" s="20">
        <f>D82/12</f>
        <v>4.078216148092868</v>
      </c>
    </row>
    <row r="83" spans="1:5" ht="27">
      <c r="A83" s="8">
        <v>16</v>
      </c>
      <c r="B83" s="24" t="s">
        <v>95</v>
      </c>
    </row>
    <row r="84" spans="1:5">
      <c r="C84" s="8" t="s">
        <v>32</v>
      </c>
      <c r="D84" s="2">
        <v>34356</v>
      </c>
    </row>
    <row r="85" spans="1:5">
      <c r="C85" s="8" t="s">
        <v>63</v>
      </c>
      <c r="D85" s="17">
        <v>8</v>
      </c>
      <c r="E85" s="18">
        <f>D85*4</f>
        <v>32</v>
      </c>
    </row>
    <row r="86" spans="1:5">
      <c r="C86" s="8" t="s">
        <v>33</v>
      </c>
      <c r="D86" s="2">
        <v>14051</v>
      </c>
    </row>
    <row r="87" spans="1:5">
      <c r="D87" s="9">
        <f>RATE(E85,0,-D86,D84)</f>
        <v>2.8334082417369746E-2</v>
      </c>
      <c r="E87" s="6">
        <f>D87*4</f>
        <v>0.11333632966947899</v>
      </c>
    </row>
    <row r="89" spans="1:5">
      <c r="A89" s="8" t="s">
        <v>96</v>
      </c>
    </row>
    <row r="90" spans="1:5">
      <c r="A90" s="8">
        <v>1</v>
      </c>
      <c r="B90" s="29" t="s">
        <v>97</v>
      </c>
      <c r="C90" s="8" t="s">
        <v>98</v>
      </c>
    </row>
    <row r="91" spans="1:5">
      <c r="A91" s="8">
        <v>2</v>
      </c>
      <c r="B91" s="29" t="s">
        <v>99</v>
      </c>
      <c r="C91" s="8" t="s">
        <v>100</v>
      </c>
    </row>
    <row r="92" spans="1:5">
      <c r="A92" s="8">
        <v>3</v>
      </c>
      <c r="B92" s="24" t="s">
        <v>101</v>
      </c>
      <c r="C92" s="8" t="s">
        <v>102</v>
      </c>
    </row>
    <row r="93" spans="1:5" ht="27">
      <c r="A93" s="8">
        <v>4</v>
      </c>
      <c r="B93" s="24" t="s">
        <v>103</v>
      </c>
      <c r="C93" s="8" t="s">
        <v>104</v>
      </c>
    </row>
    <row r="94" spans="1:5" ht="31">
      <c r="A94" s="8">
        <v>5</v>
      </c>
      <c r="B94" s="24" t="s">
        <v>105</v>
      </c>
      <c r="C94" s="8" t="s">
        <v>107</v>
      </c>
    </row>
    <row r="95" spans="1:5">
      <c r="B95" s="24" t="s">
        <v>106</v>
      </c>
    </row>
    <row r="96" spans="1:5" ht="53">
      <c r="A96" s="8">
        <v>6</v>
      </c>
      <c r="B96" s="24" t="s">
        <v>109</v>
      </c>
    </row>
    <row r="97" spans="1:4">
      <c r="A97" s="8" t="s">
        <v>108</v>
      </c>
      <c r="B97" s="24" t="s">
        <v>106</v>
      </c>
    </row>
    <row r="98" spans="1:4">
      <c r="B98" s="24" t="s">
        <v>110</v>
      </c>
      <c r="C98" s="21">
        <f>9.76/(11.68%-2.48%)</f>
        <v>106.08695652173913</v>
      </c>
      <c r="D98" s="23" t="s">
        <v>132</v>
      </c>
    </row>
    <row r="99" spans="1:4">
      <c r="A99" s="8">
        <v>7</v>
      </c>
      <c r="B99" s="24" t="s">
        <v>111</v>
      </c>
    </row>
    <row r="100" spans="1:4">
      <c r="B100" s="24" t="s">
        <v>112</v>
      </c>
      <c r="C100" s="2">
        <v>50</v>
      </c>
    </row>
    <row r="101" spans="1:4">
      <c r="B101" s="24" t="s">
        <v>113</v>
      </c>
      <c r="C101" s="2">
        <v>71</v>
      </c>
    </row>
    <row r="102" spans="1:4">
      <c r="B102" s="24" t="s">
        <v>114</v>
      </c>
      <c r="C102" s="2">
        <v>7</v>
      </c>
    </row>
    <row r="103" spans="1:4">
      <c r="B103" s="24" t="s">
        <v>115</v>
      </c>
      <c r="C103" s="6">
        <f>(C102/C100)+((C101-C100)/C100)</f>
        <v>0.56000000000000005</v>
      </c>
    </row>
    <row r="104" spans="1:4" ht="34">
      <c r="A104" s="8">
        <v>8</v>
      </c>
      <c r="B104" s="24" t="s">
        <v>116</v>
      </c>
    </row>
    <row r="105" spans="1:4">
      <c r="B105" s="24" t="s">
        <v>117</v>
      </c>
      <c r="C105" s="22">
        <f>16.42/10.39%</f>
        <v>158.03657362848895</v>
      </c>
    </row>
    <row r="106" spans="1:4" ht="27">
      <c r="A106" s="8">
        <v>9</v>
      </c>
      <c r="B106" s="24" t="s">
        <v>118</v>
      </c>
    </row>
    <row r="107" spans="1:4">
      <c r="B107" s="24" t="s">
        <v>119</v>
      </c>
    </row>
    <row r="108" spans="1:4">
      <c r="B108" s="24" t="s">
        <v>120</v>
      </c>
      <c r="C108" s="22">
        <f>4.97/6.66%</f>
        <v>74.624624624624616</v>
      </c>
      <c r="D108" s="23" t="s">
        <v>132</v>
      </c>
    </row>
    <row r="109" spans="1:4">
      <c r="B109" s="24" t="s">
        <v>121</v>
      </c>
    </row>
    <row r="110" spans="1:4">
      <c r="B110" s="24" t="s">
        <v>122</v>
      </c>
    </row>
    <row r="111" spans="1:4">
      <c r="B111" s="24" t="s">
        <v>123</v>
      </c>
    </row>
    <row r="112" spans="1:4">
      <c r="B112" s="24" t="s">
        <v>124</v>
      </c>
    </row>
    <row r="113" spans="1:6">
      <c r="B113" s="24" t="s">
        <v>125</v>
      </c>
    </row>
    <row r="114" spans="1:6" ht="27">
      <c r="B114" s="24" t="s">
        <v>126</v>
      </c>
    </row>
    <row r="115" spans="1:6">
      <c r="B115" s="24" t="s">
        <v>127</v>
      </c>
    </row>
    <row r="116" spans="1:6" ht="53">
      <c r="A116" s="8">
        <v>10</v>
      </c>
      <c r="B116" s="24" t="s">
        <v>128</v>
      </c>
    </row>
    <row r="117" spans="1:6">
      <c r="B117" s="32"/>
      <c r="C117" s="8">
        <v>52.74</v>
      </c>
      <c r="D117" s="8" t="s">
        <v>130</v>
      </c>
    </row>
    <row r="118" spans="1:6">
      <c r="C118" s="8">
        <v>3.07</v>
      </c>
      <c r="D118" s="8" t="s">
        <v>131</v>
      </c>
    </row>
    <row r="119" spans="1:6">
      <c r="B119" s="32"/>
      <c r="C119" s="9">
        <v>7.2900000000000006E-2</v>
      </c>
      <c r="D119" s="6">
        <f>0.0729+(3.07/52.74)</f>
        <v>0.13111008722032613</v>
      </c>
    </row>
    <row r="120" spans="1:6">
      <c r="C120" s="8" t="s">
        <v>129</v>
      </c>
    </row>
    <row r="121" spans="1:6">
      <c r="B121" s="32"/>
    </row>
    <row r="122" spans="1:6">
      <c r="A122" s="8" t="s">
        <v>133</v>
      </c>
      <c r="B122" s="24"/>
    </row>
    <row r="123" spans="1:6" ht="92">
      <c r="A123" s="8">
        <v>1</v>
      </c>
      <c r="B123" s="24" t="s">
        <v>134</v>
      </c>
    </row>
    <row r="124" spans="1:6">
      <c r="C124" s="8" t="s">
        <v>68</v>
      </c>
      <c r="D124" s="9">
        <f>12.47%/12</f>
        <v>1.0391666666666667E-2</v>
      </c>
      <c r="E124" s="16"/>
      <c r="F124" s="25"/>
    </row>
    <row r="125" spans="1:6">
      <c r="C125" s="8" t="s">
        <v>63</v>
      </c>
      <c r="D125" s="8">
        <f>15*12</f>
        <v>180</v>
      </c>
    </row>
    <row r="126" spans="1:6">
      <c r="C126" s="8" t="s">
        <v>136</v>
      </c>
      <c r="D126" s="8">
        <v>0</v>
      </c>
    </row>
    <row r="127" spans="1:6">
      <c r="C127" s="8" t="s">
        <v>137</v>
      </c>
      <c r="D127" s="2">
        <f>114970-5000</f>
        <v>109970</v>
      </c>
    </row>
    <row r="128" spans="1:6">
      <c r="C128" s="8" t="s">
        <v>138</v>
      </c>
      <c r="D128" s="4">
        <f>PMT(D124,D125,D126,D127,1)</f>
        <v>-208.32189712004842</v>
      </c>
    </row>
    <row r="129" spans="1:5">
      <c r="A129" s="8">
        <v>2</v>
      </c>
      <c r="B129" s="24" t="s">
        <v>139</v>
      </c>
      <c r="C129" s="8" t="s">
        <v>143</v>
      </c>
    </row>
    <row r="130" spans="1:5">
      <c r="B130" s="24" t="s">
        <v>140</v>
      </c>
      <c r="C130" s="8">
        <f>5%*1000</f>
        <v>50</v>
      </c>
    </row>
    <row r="131" spans="1:5">
      <c r="B131" s="24" t="s">
        <v>141</v>
      </c>
      <c r="C131" s="26">
        <f>112.5%*1000</f>
        <v>1125</v>
      </c>
    </row>
    <row r="132" spans="1:5" ht="27">
      <c r="B132" s="24" t="s">
        <v>142</v>
      </c>
    </row>
    <row r="133" spans="1:5" ht="53">
      <c r="A133" s="8">
        <v>3</v>
      </c>
      <c r="B133" s="24" t="s">
        <v>144</v>
      </c>
      <c r="C133" s="8" t="s">
        <v>135</v>
      </c>
      <c r="D133" s="9">
        <v>8.5900000000000004E-2</v>
      </c>
    </row>
    <row r="134" spans="1:5">
      <c r="C134" s="8" t="s">
        <v>145</v>
      </c>
      <c r="D134" s="8">
        <v>26</v>
      </c>
    </row>
    <row r="135" spans="1:5">
      <c r="C135" s="8" t="s">
        <v>66</v>
      </c>
      <c r="D135" s="8">
        <f>9.31%*1000</f>
        <v>93.100000000000009</v>
      </c>
      <c r="E135" s="8">
        <f>11.13%*1000</f>
        <v>111.30000000000001</v>
      </c>
    </row>
    <row r="136" spans="1:5">
      <c r="C136" s="8" t="s">
        <v>32</v>
      </c>
      <c r="D136" s="8">
        <v>1000</v>
      </c>
    </row>
    <row r="137" spans="1:5">
      <c r="C137" s="8" t="s">
        <v>136</v>
      </c>
      <c r="D137" s="14">
        <f>PV(D133,D134,D135,D136)</f>
        <v>-1073.9827297737711</v>
      </c>
    </row>
    <row r="138" spans="1:5" ht="40">
      <c r="A138" s="8">
        <v>4</v>
      </c>
      <c r="B138" s="24" t="s">
        <v>146</v>
      </c>
      <c r="C138" s="8" t="s">
        <v>68</v>
      </c>
      <c r="D138" s="9">
        <f>12.3%/2</f>
        <v>6.1500000000000006E-2</v>
      </c>
    </row>
    <row r="139" spans="1:5">
      <c r="C139" s="8" t="s">
        <v>63</v>
      </c>
      <c r="D139" s="8">
        <f>28*2</f>
        <v>56</v>
      </c>
    </row>
    <row r="140" spans="1:5">
      <c r="C140" s="8" t="s">
        <v>66</v>
      </c>
      <c r="D140" s="8">
        <f>11.66%*1000/2</f>
        <v>58.3</v>
      </c>
    </row>
    <row r="141" spans="1:5">
      <c r="C141" s="8" t="s">
        <v>32</v>
      </c>
      <c r="D141" s="8">
        <v>1000</v>
      </c>
    </row>
    <row r="142" spans="1:5">
      <c r="C142" s="8" t="s">
        <v>136</v>
      </c>
      <c r="D142" s="4">
        <f>PV(D138,D139,D140,D141)</f>
        <v>-949.80721330132451</v>
      </c>
    </row>
    <row r="143" spans="1:5" ht="40">
      <c r="A143" s="8">
        <v>5</v>
      </c>
      <c r="B143" s="24" t="s">
        <v>147</v>
      </c>
      <c r="C143" s="8" t="s">
        <v>66</v>
      </c>
      <c r="D143" s="8">
        <f>11.91%*1000</f>
        <v>119.1</v>
      </c>
    </row>
    <row r="144" spans="1:5">
      <c r="B144" s="29" t="s">
        <v>149</v>
      </c>
      <c r="C144" s="8" t="s">
        <v>32</v>
      </c>
      <c r="D144" s="8">
        <v>1000</v>
      </c>
    </row>
    <row r="145" spans="1:5">
      <c r="C145" s="8" t="s">
        <v>33</v>
      </c>
      <c r="D145" s="8">
        <v>941.22</v>
      </c>
    </row>
    <row r="146" spans="1:5">
      <c r="C146" s="8" t="s">
        <v>63</v>
      </c>
      <c r="D146" s="8">
        <v>15</v>
      </c>
    </row>
    <row r="147" spans="1:5">
      <c r="C147" s="8" t="s">
        <v>148</v>
      </c>
      <c r="D147" s="27">
        <v>0.1275</v>
      </c>
      <c r="E147" s="5"/>
    </row>
    <row r="148" spans="1:5" ht="40">
      <c r="A148" s="8">
        <v>6</v>
      </c>
      <c r="B148" s="24" t="s">
        <v>150</v>
      </c>
      <c r="C148" s="6">
        <v>0.13898322880784406</v>
      </c>
    </row>
    <row r="149" spans="1:5">
      <c r="B149" s="29" t="s">
        <v>149</v>
      </c>
    </row>
    <row r="150" spans="1:5" ht="27">
      <c r="A150" s="8">
        <v>7</v>
      </c>
      <c r="B150" s="24" t="s">
        <v>151</v>
      </c>
      <c r="C150" s="6">
        <f>0.0952/(1-0.33)</f>
        <v>0.14208955223880598</v>
      </c>
    </row>
    <row r="151" spans="1:5">
      <c r="B151" s="29" t="s">
        <v>152</v>
      </c>
    </row>
    <row r="152" spans="1:5" ht="53">
      <c r="A152" s="8">
        <v>8</v>
      </c>
      <c r="B152" s="24" t="s">
        <v>153</v>
      </c>
      <c r="C152" s="8" t="s">
        <v>39</v>
      </c>
      <c r="D152" s="28">
        <v>1124.28</v>
      </c>
    </row>
    <row r="153" spans="1:5">
      <c r="A153" s="8">
        <v>9</v>
      </c>
      <c r="B153" s="24" t="s">
        <v>154</v>
      </c>
      <c r="C153" s="8" t="s">
        <v>160</v>
      </c>
    </row>
    <row r="154" spans="1:5">
      <c r="B154" s="24" t="s">
        <v>155</v>
      </c>
    </row>
    <row r="155" spans="1:5">
      <c r="B155" s="24" t="s">
        <v>156</v>
      </c>
    </row>
    <row r="156" spans="1:5">
      <c r="B156" s="24" t="s">
        <v>157</v>
      </c>
    </row>
    <row r="157" spans="1:5">
      <c r="B157" s="24" t="s">
        <v>158</v>
      </c>
    </row>
    <row r="158" spans="1:5">
      <c r="B158" s="24" t="s">
        <v>159</v>
      </c>
    </row>
    <row r="159" spans="1:5">
      <c r="A159" s="8">
        <v>10</v>
      </c>
      <c r="B159" s="24" t="s">
        <v>161</v>
      </c>
      <c r="C159" s="8" t="s">
        <v>162</v>
      </c>
    </row>
    <row r="160" spans="1:5" ht="27">
      <c r="A160" s="8">
        <v>11</v>
      </c>
      <c r="B160" s="24" t="s">
        <v>163</v>
      </c>
      <c r="C160" s="8" t="s">
        <v>164</v>
      </c>
    </row>
    <row r="161" spans="1:4">
      <c r="A161" s="8">
        <v>12</v>
      </c>
      <c r="B161" s="24" t="s">
        <v>165</v>
      </c>
      <c r="C161" s="8" t="s">
        <v>166</v>
      </c>
    </row>
    <row r="162" spans="1:4" ht="53">
      <c r="A162" s="8">
        <v>13</v>
      </c>
      <c r="B162" s="24" t="s">
        <v>167</v>
      </c>
      <c r="C162" s="8" t="s">
        <v>39</v>
      </c>
      <c r="D162" s="28">
        <v>1034.8499999999999</v>
      </c>
    </row>
    <row r="164" spans="1:4">
      <c r="A164" s="8" t="s">
        <v>168</v>
      </c>
    </row>
    <row r="165" spans="1:4">
      <c r="A165" s="8">
        <v>1</v>
      </c>
      <c r="B165" s="24" t="s">
        <v>169</v>
      </c>
      <c r="C165" s="8" t="s">
        <v>192</v>
      </c>
    </row>
    <row r="166" spans="1:4">
      <c r="A166" s="8">
        <v>2</v>
      </c>
      <c r="B166" s="24" t="s">
        <v>170</v>
      </c>
      <c r="C166" s="8" t="b">
        <v>1</v>
      </c>
    </row>
    <row r="167" spans="1:4" ht="53">
      <c r="A167" s="8">
        <v>3</v>
      </c>
      <c r="B167" s="24" t="s">
        <v>171</v>
      </c>
      <c r="C167" s="22">
        <f>(200*35)-(200*22.54)+(200*4)</f>
        <v>3292</v>
      </c>
      <c r="D167" s="1" t="s">
        <v>193</v>
      </c>
    </row>
    <row r="168" spans="1:4">
      <c r="B168" s="29" t="s">
        <v>172</v>
      </c>
    </row>
    <row r="169" spans="1:4">
      <c r="B169" s="29" t="s">
        <v>197</v>
      </c>
    </row>
    <row r="170" spans="1:4">
      <c r="A170" s="8">
        <v>4</v>
      </c>
      <c r="B170" s="1" t="s">
        <v>173</v>
      </c>
      <c r="C170" s="8" t="s">
        <v>194</v>
      </c>
    </row>
    <row r="171" spans="1:4">
      <c r="B171"/>
    </row>
    <row r="172" spans="1:4">
      <c r="B172" s="1" t="s">
        <v>174</v>
      </c>
    </row>
    <row r="173" spans="1:4">
      <c r="B173" s="1" t="s">
        <v>175</v>
      </c>
    </row>
    <row r="174" spans="1:4">
      <c r="B174" s="1" t="s">
        <v>176</v>
      </c>
    </row>
    <row r="175" spans="1:4">
      <c r="B175" s="1" t="s">
        <v>177</v>
      </c>
    </row>
    <row r="176" spans="1:4">
      <c r="A176" s="8">
        <v>5</v>
      </c>
      <c r="B176" s="1" t="s">
        <v>178</v>
      </c>
      <c r="C176" s="8" t="s">
        <v>179</v>
      </c>
    </row>
    <row r="177" spans="1:5">
      <c r="A177" s="8">
        <v>6</v>
      </c>
      <c r="B177" s="1" t="s">
        <v>180</v>
      </c>
      <c r="C177" s="1" t="s">
        <v>195</v>
      </c>
    </row>
    <row r="178" spans="1:5" ht="40">
      <c r="A178" s="8">
        <v>7</v>
      </c>
      <c r="B178" s="24" t="s">
        <v>181</v>
      </c>
      <c r="C178" s="8">
        <v>77.03</v>
      </c>
      <c r="D178" s="1" t="s">
        <v>196</v>
      </c>
    </row>
    <row r="179" spans="1:5">
      <c r="A179" s="8">
        <v>8</v>
      </c>
      <c r="B179" s="1" t="s">
        <v>182</v>
      </c>
      <c r="C179" s="8" t="s">
        <v>183</v>
      </c>
    </row>
    <row r="180" spans="1:5" ht="27">
      <c r="A180" s="8">
        <v>9</v>
      </c>
      <c r="B180" s="24" t="s">
        <v>184</v>
      </c>
      <c r="C180" s="8">
        <f>55.4-40</f>
        <v>15.399999999999999</v>
      </c>
    </row>
    <row r="181" spans="1:5">
      <c r="B181" s="29" t="s">
        <v>185</v>
      </c>
      <c r="C181" s="23">
        <f>(15.4-3)*100</f>
        <v>1240</v>
      </c>
    </row>
    <row r="182" spans="1:5" ht="27">
      <c r="A182" s="8">
        <v>10</v>
      </c>
      <c r="B182" s="24" t="s">
        <v>186</v>
      </c>
      <c r="C182" s="8" t="s">
        <v>187</v>
      </c>
    </row>
    <row r="183" spans="1:5" ht="53">
      <c r="A183" s="8">
        <v>11</v>
      </c>
      <c r="B183" s="24" t="s">
        <v>188</v>
      </c>
      <c r="C183" s="8">
        <v>-400</v>
      </c>
    </row>
    <row r="184" spans="1:5">
      <c r="C184" s="23"/>
    </row>
    <row r="185" spans="1:5">
      <c r="A185" s="8">
        <v>12</v>
      </c>
      <c r="B185" s="1" t="s">
        <v>189</v>
      </c>
      <c r="C185" s="1" t="s">
        <v>190</v>
      </c>
    </row>
    <row r="186" spans="1:5" ht="40">
      <c r="A186" s="8">
        <v>13</v>
      </c>
      <c r="B186" s="24" t="s">
        <v>191</v>
      </c>
      <c r="C186" s="8">
        <v>4932</v>
      </c>
    </row>
    <row r="188" spans="1:5">
      <c r="A188" s="8" t="s">
        <v>198</v>
      </c>
    </row>
    <row r="189" spans="1:5">
      <c r="A189" s="8">
        <v>1</v>
      </c>
      <c r="B189" s="1" t="s">
        <v>199</v>
      </c>
      <c r="C189"/>
    </row>
    <row r="190" spans="1:5">
      <c r="B190"/>
      <c r="C190"/>
    </row>
    <row r="191" spans="1:5">
      <c r="B191" s="1" t="s">
        <v>200</v>
      </c>
      <c r="C191" s="1" t="s">
        <v>201</v>
      </c>
    </row>
    <row r="192" spans="1:5">
      <c r="B192" s="1">
        <v>1</v>
      </c>
      <c r="C192" s="33">
        <v>0.06</v>
      </c>
      <c r="D192" s="8">
        <f>(C192-$C$197)^2</f>
        <v>1.9259299443872359E-34</v>
      </c>
      <c r="E192" s="34"/>
    </row>
    <row r="193" spans="1:6">
      <c r="B193" s="1">
        <v>2</v>
      </c>
      <c r="C193" s="33">
        <v>7.0000000000000007E-2</v>
      </c>
      <c r="D193" s="8">
        <f t="shared" ref="D193:D196" si="0">(C193-$C$197)^2</f>
        <v>9.9999999999999896E-5</v>
      </c>
    </row>
    <row r="194" spans="1:6">
      <c r="B194" s="1">
        <v>3</v>
      </c>
      <c r="C194" s="33">
        <v>0.1</v>
      </c>
      <c r="D194" s="8">
        <f t="shared" si="0"/>
        <v>1.5999999999999994E-3</v>
      </c>
    </row>
    <row r="195" spans="1:6">
      <c r="B195" s="1">
        <v>4</v>
      </c>
      <c r="C195" s="33">
        <v>0</v>
      </c>
      <c r="D195" s="8">
        <f t="shared" si="0"/>
        <v>3.6000000000000012E-3</v>
      </c>
    </row>
    <row r="196" spans="1:6">
      <c r="B196" s="1">
        <v>5</v>
      </c>
      <c r="C196" s="33">
        <v>7.0000000000000007E-2</v>
      </c>
      <c r="D196" s="8">
        <f t="shared" si="0"/>
        <v>9.9999999999999896E-5</v>
      </c>
    </row>
    <row r="197" spans="1:6">
      <c r="B197"/>
      <c r="C197" s="3">
        <f>AVERAGE(C192:C196)</f>
        <v>6.0000000000000012E-2</v>
      </c>
      <c r="D197" s="23">
        <f>(SUM(D192:D196))/(B196-1)</f>
        <v>1.3500000000000003E-3</v>
      </c>
    </row>
    <row r="198" spans="1:6">
      <c r="B198" s="1" t="s">
        <v>202</v>
      </c>
      <c r="C198"/>
      <c r="D198" s="6">
        <f>SQRT(D197)</f>
        <v>3.6742346141747678E-2</v>
      </c>
    </row>
    <row r="199" spans="1:6">
      <c r="A199" s="8">
        <v>2</v>
      </c>
      <c r="B199" s="1" t="s">
        <v>203</v>
      </c>
      <c r="C199"/>
      <c r="D199"/>
    </row>
    <row r="200" spans="1:6">
      <c r="B200"/>
      <c r="C200"/>
      <c r="D200"/>
    </row>
    <row r="201" spans="1:6">
      <c r="B201" s="35" t="s">
        <v>204</v>
      </c>
      <c r="C201" s="35" t="s">
        <v>205</v>
      </c>
      <c r="D201" s="35" t="s">
        <v>206</v>
      </c>
    </row>
    <row r="202" spans="1:6">
      <c r="B202" s="1" t="s">
        <v>207</v>
      </c>
      <c r="C202" s="33">
        <v>0.23</v>
      </c>
      <c r="D202" s="36">
        <v>5.8000000000000003E-2</v>
      </c>
      <c r="E202" s="40">
        <f>C202*D202</f>
        <v>1.3340000000000001E-2</v>
      </c>
    </row>
    <row r="203" spans="1:6">
      <c r="B203" s="37" t="s">
        <v>208</v>
      </c>
      <c r="C203" s="33">
        <v>0.49</v>
      </c>
      <c r="D203" s="36">
        <v>0.03</v>
      </c>
      <c r="E203" s="40">
        <f t="shared" ref="E203:E204" si="1">C203*D203</f>
        <v>1.47E-2</v>
      </c>
      <c r="F203" s="5"/>
    </row>
    <row r="204" spans="1:6">
      <c r="B204" s="1" t="s">
        <v>209</v>
      </c>
      <c r="C204" s="39">
        <f>100%-C202-C203</f>
        <v>0.28000000000000003</v>
      </c>
      <c r="D204" s="36">
        <v>-4.3999999999999997E-2</v>
      </c>
      <c r="E204" s="40">
        <f t="shared" si="1"/>
        <v>-1.2320000000000001E-2</v>
      </c>
    </row>
    <row r="205" spans="1:6">
      <c r="B205"/>
      <c r="C205"/>
      <c r="D205"/>
      <c r="E205" s="3">
        <f>SUM(E202:E204)</f>
        <v>1.5720000000000001E-2</v>
      </c>
    </row>
    <row r="206" spans="1:6">
      <c r="B206" s="38" t="s">
        <v>210</v>
      </c>
      <c r="C206"/>
      <c r="D206"/>
    </row>
    <row r="207" spans="1:6" ht="40">
      <c r="A207" s="8">
        <v>3</v>
      </c>
      <c r="B207" s="24" t="s">
        <v>211</v>
      </c>
      <c r="C207" s="8" t="s">
        <v>212</v>
      </c>
      <c r="D207" s="41">
        <v>0.79</v>
      </c>
    </row>
    <row r="208" spans="1:6">
      <c r="C208" s="8" t="s">
        <v>213</v>
      </c>
      <c r="D208" s="9">
        <v>3.0200000000000001E-2</v>
      </c>
    </row>
    <row r="209" spans="1:5">
      <c r="C209" s="8" t="s">
        <v>214</v>
      </c>
      <c r="D209" s="9">
        <v>9.0200000000000002E-2</v>
      </c>
    </row>
    <row r="210" spans="1:5">
      <c r="C210" s="8" t="s">
        <v>215</v>
      </c>
      <c r="D210" s="3">
        <f>D208+D207*(D209-D208)</f>
        <v>7.7600000000000002E-2</v>
      </c>
    </row>
    <row r="211" spans="1:5" ht="40">
      <c r="A211" s="8">
        <v>4</v>
      </c>
      <c r="B211" s="24" t="s">
        <v>216</v>
      </c>
      <c r="C211" s="8" t="s">
        <v>212</v>
      </c>
      <c r="D211" s="8">
        <v>2.2599999999999998</v>
      </c>
    </row>
    <row r="212" spans="1:5">
      <c r="C212" s="8" t="s">
        <v>213</v>
      </c>
      <c r="D212" s="9">
        <v>2.86E-2</v>
      </c>
    </row>
    <row r="213" spans="1:5">
      <c r="C213" s="8" t="s">
        <v>214</v>
      </c>
      <c r="D213" s="9">
        <v>8.9899999999999994E-2</v>
      </c>
    </row>
    <row r="214" spans="1:5">
      <c r="C214" s="8" t="s">
        <v>215</v>
      </c>
      <c r="D214" s="6">
        <f>D212+D211*(D213)</f>
        <v>0.23177399999999998</v>
      </c>
      <c r="E214" s="6"/>
    </row>
    <row r="215" spans="1:5" ht="17">
      <c r="A215" s="8">
        <v>5</v>
      </c>
      <c r="B215" s="42" t="s">
        <v>217</v>
      </c>
      <c r="E215" s="1" t="s">
        <v>240</v>
      </c>
    </row>
    <row r="216" spans="1:5" ht="30">
      <c r="B216" s="29" t="s">
        <v>218</v>
      </c>
      <c r="E216" s="8" t="s">
        <v>241</v>
      </c>
    </row>
    <row r="217" spans="1:5">
      <c r="A217" s="8">
        <v>6</v>
      </c>
      <c r="B217" s="1" t="s">
        <v>219</v>
      </c>
      <c r="C217" s="8" t="s">
        <v>225</v>
      </c>
      <c r="E217" s="1" t="s">
        <v>242</v>
      </c>
    </row>
    <row r="218" spans="1:5">
      <c r="B218"/>
      <c r="E218" s="8" t="s">
        <v>243</v>
      </c>
    </row>
    <row r="219" spans="1:5">
      <c r="B219" s="1" t="s">
        <v>220</v>
      </c>
    </row>
    <row r="220" spans="1:5">
      <c r="B220" s="1" t="s">
        <v>221</v>
      </c>
    </row>
    <row r="221" spans="1:5">
      <c r="B221" s="1" t="s">
        <v>222</v>
      </c>
    </row>
    <row r="222" spans="1:5">
      <c r="B222" s="1" t="s">
        <v>223</v>
      </c>
    </row>
    <row r="223" spans="1:5">
      <c r="B223" s="1" t="s">
        <v>224</v>
      </c>
    </row>
    <row r="224" spans="1:5">
      <c r="A224" s="8">
        <v>7</v>
      </c>
      <c r="B224" s="1" t="s">
        <v>226</v>
      </c>
      <c r="C224" s="8" t="s">
        <v>230</v>
      </c>
      <c r="E224" s="1" t="s">
        <v>244</v>
      </c>
    </row>
    <row r="225" spans="1:6">
      <c r="B225"/>
      <c r="E225" s="8" t="s">
        <v>245</v>
      </c>
    </row>
    <row r="226" spans="1:6">
      <c r="B226" s="1" t="s">
        <v>227</v>
      </c>
    </row>
    <row r="227" spans="1:6">
      <c r="B227" s="1" t="s">
        <v>228</v>
      </c>
    </row>
    <row r="228" spans="1:6">
      <c r="B228" s="1" t="s">
        <v>229</v>
      </c>
    </row>
    <row r="229" spans="1:6">
      <c r="A229" s="8">
        <v>8</v>
      </c>
      <c r="B229" s="1" t="s">
        <v>231</v>
      </c>
      <c r="E229" s="1" t="s">
        <v>246</v>
      </c>
      <c r="F229" s="8" t="s">
        <v>256</v>
      </c>
    </row>
    <row r="230" spans="1:6">
      <c r="B230" s="29" t="b">
        <v>1</v>
      </c>
      <c r="E230"/>
    </row>
    <row r="231" spans="1:6">
      <c r="A231" s="8">
        <v>9</v>
      </c>
      <c r="B231" s="1" t="s">
        <v>232</v>
      </c>
      <c r="E231" s="1" t="s">
        <v>247</v>
      </c>
    </row>
    <row r="232" spans="1:6">
      <c r="B232" s="1" t="s">
        <v>239</v>
      </c>
      <c r="C232" s="1"/>
      <c r="E232" s="1" t="s">
        <v>248</v>
      </c>
    </row>
    <row r="233" spans="1:6">
      <c r="A233" s="8">
        <v>10</v>
      </c>
      <c r="B233" s="1" t="s">
        <v>233</v>
      </c>
      <c r="E233" s="1" t="s">
        <v>249</v>
      </c>
    </row>
    <row r="234" spans="1:6">
      <c r="B234"/>
    </row>
    <row r="235" spans="1:6">
      <c r="B235" s="1" t="s">
        <v>234</v>
      </c>
      <c r="E235" s="1" t="s">
        <v>250</v>
      </c>
    </row>
    <row r="236" spans="1:6">
      <c r="B236" s="1" t="s">
        <v>235</v>
      </c>
      <c r="E236" s="1" t="s">
        <v>251</v>
      </c>
    </row>
    <row r="237" spans="1:6">
      <c r="B237" s="29" t="s">
        <v>236</v>
      </c>
    </row>
    <row r="238" spans="1:6">
      <c r="A238" s="8">
        <v>11</v>
      </c>
      <c r="B238" s="1" t="s">
        <v>237</v>
      </c>
      <c r="E238" s="1" t="s">
        <v>252</v>
      </c>
    </row>
    <row r="239" spans="1:6">
      <c r="B239" s="29" t="s">
        <v>238</v>
      </c>
      <c r="E239" s="1" t="s">
        <v>253</v>
      </c>
    </row>
    <row r="241" spans="1:6">
      <c r="C241"/>
      <c r="D241"/>
      <c r="E241" s="1" t="s">
        <v>254</v>
      </c>
    </row>
    <row r="242" spans="1:6">
      <c r="B242" s="43"/>
      <c r="C242"/>
      <c r="D242"/>
      <c r="E242" s="1" t="s">
        <v>255</v>
      </c>
    </row>
    <row r="244" spans="1:6">
      <c r="A244" s="8" t="s">
        <v>257</v>
      </c>
    </row>
    <row r="245" spans="1:6">
      <c r="A245" s="8">
        <v>1</v>
      </c>
      <c r="B245" s="43" t="s">
        <v>258</v>
      </c>
    </row>
    <row r="246" spans="1:6">
      <c r="B246" s="35" t="s">
        <v>54</v>
      </c>
      <c r="C246" s="35" t="s">
        <v>259</v>
      </c>
      <c r="D246" s="35" t="s">
        <v>260</v>
      </c>
      <c r="E246" s="1" t="s">
        <v>265</v>
      </c>
    </row>
    <row r="247" spans="1:6">
      <c r="B247" s="1" t="s">
        <v>261</v>
      </c>
      <c r="C247" s="33">
        <v>0.34</v>
      </c>
      <c r="D247" s="33">
        <v>0.11</v>
      </c>
      <c r="E247" s="10">
        <f>C247*D247</f>
        <v>3.7400000000000003E-2</v>
      </c>
    </row>
    <row r="248" spans="1:6">
      <c r="B248" s="1" t="s">
        <v>262</v>
      </c>
      <c r="C248" s="33">
        <v>0.11</v>
      </c>
      <c r="D248" s="33">
        <v>0.15</v>
      </c>
      <c r="E248" s="10">
        <f t="shared" ref="E248:E250" si="2">C248*D248</f>
        <v>1.6500000000000001E-2</v>
      </c>
    </row>
    <row r="249" spans="1:6">
      <c r="B249" s="1" t="s">
        <v>263</v>
      </c>
      <c r="C249" s="33">
        <v>0.12</v>
      </c>
      <c r="D249" s="33">
        <v>-0.02</v>
      </c>
      <c r="E249" s="10">
        <f t="shared" si="2"/>
        <v>-2.3999999999999998E-3</v>
      </c>
    </row>
    <row r="250" spans="1:6">
      <c r="B250" s="1" t="s">
        <v>264</v>
      </c>
      <c r="C250" s="33">
        <f>100%-C247-C248-C249</f>
        <v>0.42999999999999994</v>
      </c>
      <c r="D250" s="33">
        <v>0.08</v>
      </c>
      <c r="E250" s="10">
        <f t="shared" si="2"/>
        <v>3.4399999999999993E-2</v>
      </c>
    </row>
    <row r="251" spans="1:6">
      <c r="E251" s="45">
        <f>SUM(E247:E250)</f>
        <v>8.5900000000000004E-2</v>
      </c>
    </row>
    <row r="252" spans="1:6">
      <c r="A252" s="8">
        <v>2</v>
      </c>
      <c r="B252" s="1" t="s">
        <v>266</v>
      </c>
      <c r="C252"/>
      <c r="D252"/>
    </row>
    <row r="253" spans="1:6">
      <c r="B253"/>
      <c r="C253"/>
      <c r="D253"/>
    </row>
    <row r="254" spans="1:6">
      <c r="B254" s="35" t="s">
        <v>54</v>
      </c>
      <c r="C254" s="35" t="s">
        <v>267</v>
      </c>
      <c r="D254" s="35" t="s">
        <v>260</v>
      </c>
      <c r="E254" s="35" t="s">
        <v>269</v>
      </c>
      <c r="F254" s="35" t="s">
        <v>265</v>
      </c>
    </row>
    <row r="255" spans="1:6">
      <c r="B255" s="1" t="s">
        <v>261</v>
      </c>
      <c r="C255" s="46">
        <v>320891</v>
      </c>
      <c r="D255" s="36">
        <v>0.14399999999999999</v>
      </c>
      <c r="E255" s="48">
        <f>C255/SUM($C$255:$C$257)</f>
        <v>0.19002914177732272</v>
      </c>
      <c r="F255" s="5">
        <f>D255*E255</f>
        <v>2.7364196415934468E-2</v>
      </c>
    </row>
    <row r="256" spans="1:6">
      <c r="B256" s="1" t="s">
        <v>262</v>
      </c>
      <c r="C256" s="46">
        <v>773114</v>
      </c>
      <c r="D256" s="36">
        <v>3.2000000000000001E-2</v>
      </c>
      <c r="E256" s="48">
        <f t="shared" ref="E256:E257" si="3">C256/SUM($C$255:$C$257)</f>
        <v>0.45783206732514492</v>
      </c>
      <c r="F256" s="5">
        <f t="shared" ref="F256:F257" si="4">D256*E256</f>
        <v>1.4650626154404638E-2</v>
      </c>
    </row>
    <row r="257" spans="1:6">
      <c r="B257" s="1" t="s">
        <v>263</v>
      </c>
      <c r="C257" s="46">
        <v>594636</v>
      </c>
      <c r="D257" s="36">
        <v>4.8000000000000001E-2</v>
      </c>
      <c r="E257" s="48">
        <f t="shared" si="3"/>
        <v>0.35213879089753242</v>
      </c>
      <c r="F257" s="5">
        <f t="shared" si="4"/>
        <v>1.6902661963081555E-2</v>
      </c>
    </row>
    <row r="258" spans="1:6">
      <c r="B258"/>
      <c r="C258"/>
      <c r="D258"/>
      <c r="F258" s="3">
        <f>SUM(F255:F257)</f>
        <v>5.8917484533420661E-2</v>
      </c>
    </row>
    <row r="259" spans="1:6">
      <c r="B259" s="47" t="s">
        <v>268</v>
      </c>
      <c r="C259"/>
      <c r="D259"/>
    </row>
    <row r="261" spans="1:6">
      <c r="A261" s="8">
        <v>3</v>
      </c>
      <c r="B261" s="1" t="s">
        <v>270</v>
      </c>
    </row>
    <row r="262" spans="1:6">
      <c r="B262" s="29" t="s">
        <v>271</v>
      </c>
    </row>
    <row r="264" spans="1:6">
      <c r="A264" s="8">
        <v>4</v>
      </c>
      <c r="B264" s="1" t="s">
        <v>272</v>
      </c>
    </row>
    <row r="265" spans="1:6" ht="30">
      <c r="B265" s="29" t="s">
        <v>273</v>
      </c>
    </row>
    <row r="267" spans="1:6">
      <c r="A267" s="8">
        <v>5</v>
      </c>
      <c r="B267" s="1" t="s">
        <v>274</v>
      </c>
    </row>
    <row r="268" spans="1:6">
      <c r="B268"/>
    </row>
    <row r="269" spans="1:6">
      <c r="B269" s="1" t="s">
        <v>275</v>
      </c>
    </row>
    <row r="270" spans="1:6">
      <c r="B270" s="1" t="s">
        <v>276</v>
      </c>
    </row>
    <row r="271" spans="1:6">
      <c r="B271" s="1" t="s">
        <v>277</v>
      </c>
    </row>
    <row r="272" spans="1:6">
      <c r="B272" s="1" t="s">
        <v>278</v>
      </c>
    </row>
    <row r="273" spans="1:2">
      <c r="B273" s="29" t="s">
        <v>286</v>
      </c>
    </row>
    <row r="275" spans="1:2">
      <c r="A275" s="8">
        <v>6</v>
      </c>
      <c r="B275" s="1" t="s">
        <v>279</v>
      </c>
    </row>
    <row r="276" spans="1:2">
      <c r="B276" s="29" t="s">
        <v>280</v>
      </c>
    </row>
    <row r="278" spans="1:2">
      <c r="A278" s="8">
        <v>7</v>
      </c>
      <c r="B278" s="1" t="s">
        <v>281</v>
      </c>
    </row>
    <row r="279" spans="1:2">
      <c r="B279" s="29" t="b">
        <v>1</v>
      </c>
    </row>
    <row r="281" spans="1:2">
      <c r="A281" s="8">
        <v>8</v>
      </c>
      <c r="B281" s="1" t="s">
        <v>282</v>
      </c>
    </row>
    <row r="282" spans="1:2">
      <c r="B282" s="29" t="s">
        <v>285</v>
      </c>
    </row>
    <row r="284" spans="1:2">
      <c r="A284" s="8">
        <v>9</v>
      </c>
      <c r="B284" s="1" t="s">
        <v>283</v>
      </c>
    </row>
    <row r="285" spans="1:2">
      <c r="B285" s="29" t="s">
        <v>284</v>
      </c>
    </row>
  </sheetData>
  <pageMargins left="0.75" right="0.75" top="1" bottom="1" header="0.5" footer="0.5"/>
  <pageSetup orientation="portrait" horizontalDpi="4294967292" verticalDpi="429496729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74"/>
  <sheetViews>
    <sheetView tabSelected="1" workbookViewId="0">
      <selection activeCell="D22" sqref="D22"/>
    </sheetView>
  </sheetViews>
  <sheetFormatPr baseColWidth="10" defaultRowHeight="15" x14ac:dyDescent="0"/>
  <cols>
    <col min="4" max="4" width="20.33203125" bestFit="1" customWidth="1"/>
    <col min="5" max="5" width="11.33203125" bestFit="1" customWidth="1"/>
    <col min="6" max="6" width="11.5" bestFit="1" customWidth="1"/>
  </cols>
  <sheetData>
    <row r="1" spans="1:2">
      <c r="A1" t="s">
        <v>287</v>
      </c>
    </row>
    <row r="2" spans="1:2">
      <c r="A2">
        <v>1</v>
      </c>
      <c r="B2" s="1" t="s">
        <v>288</v>
      </c>
    </row>
    <row r="3" spans="1:2">
      <c r="B3" t="s">
        <v>289</v>
      </c>
    </row>
    <row r="5" spans="1:2">
      <c r="A5">
        <v>2</v>
      </c>
      <c r="B5" s="1" t="s">
        <v>290</v>
      </c>
    </row>
    <row r="7" spans="1:2">
      <c r="B7" s="1" t="s">
        <v>291</v>
      </c>
    </row>
    <row r="8" spans="1:2">
      <c r="B8" s="1" t="s">
        <v>292</v>
      </c>
    </row>
    <row r="9" spans="1:2">
      <c r="B9" s="1" t="s">
        <v>293</v>
      </c>
    </row>
    <row r="10" spans="1:2">
      <c r="B10" s="1" t="s">
        <v>294</v>
      </c>
    </row>
    <row r="11" spans="1:2">
      <c r="B11" s="1" t="s">
        <v>295</v>
      </c>
    </row>
    <row r="13" spans="1:2">
      <c r="A13">
        <v>3</v>
      </c>
      <c r="B13" s="1" t="s">
        <v>296</v>
      </c>
    </row>
    <row r="14" spans="1:2">
      <c r="B14" s="1" t="s">
        <v>297</v>
      </c>
    </row>
    <row r="16" spans="1:2">
      <c r="A16">
        <v>4</v>
      </c>
      <c r="B16" s="1" t="s">
        <v>53</v>
      </c>
    </row>
    <row r="18" spans="1:8">
      <c r="B18" s="1" t="s">
        <v>54</v>
      </c>
      <c r="C18" s="1" t="s">
        <v>55</v>
      </c>
      <c r="D18" s="1" t="s">
        <v>51</v>
      </c>
      <c r="F18" s="8"/>
      <c r="G18" s="8"/>
      <c r="H18" s="8"/>
    </row>
    <row r="19" spans="1:8">
      <c r="B19" s="1" t="s">
        <v>298</v>
      </c>
      <c r="C19" s="1">
        <v>91</v>
      </c>
      <c r="D19" s="1">
        <v>99.246499999999997</v>
      </c>
      <c r="F19" s="8"/>
      <c r="G19" s="8"/>
      <c r="H19" s="11"/>
    </row>
    <row r="20" spans="1:8">
      <c r="D20" s="19">
        <f>((100-D19)/D19)*(365/C19)</f>
        <v>3.0452259976726938E-2</v>
      </c>
      <c r="F20" s="8"/>
      <c r="G20" s="8"/>
      <c r="H20" s="19"/>
    </row>
    <row r="21" spans="1:8">
      <c r="B21" s="8"/>
      <c r="C21" s="8"/>
      <c r="D21" s="8"/>
    </row>
    <row r="22" spans="1:8">
      <c r="A22">
        <v>5</v>
      </c>
      <c r="B22" s="1" t="s">
        <v>27</v>
      </c>
      <c r="C22" s="8"/>
      <c r="D22" s="11"/>
    </row>
    <row r="23" spans="1:8">
      <c r="B23" s="1" t="s">
        <v>299</v>
      </c>
      <c r="C23" s="8"/>
      <c r="D23" s="19"/>
    </row>
    <row r="25" spans="1:8">
      <c r="A25">
        <v>6</v>
      </c>
      <c r="B25" s="1" t="s">
        <v>300</v>
      </c>
    </row>
    <row r="26" spans="1:8">
      <c r="B26" t="s">
        <v>301</v>
      </c>
      <c r="C26" s="2">
        <v>89</v>
      </c>
      <c r="D26" t="s">
        <v>304</v>
      </c>
      <c r="G26" s="8"/>
      <c r="H26" s="8"/>
    </row>
    <row r="27" spans="1:8">
      <c r="B27" s="1" t="s">
        <v>302</v>
      </c>
      <c r="C27" s="2">
        <v>1.32</v>
      </c>
      <c r="D27" t="s">
        <v>305</v>
      </c>
      <c r="G27" s="8"/>
      <c r="H27" s="8"/>
    </row>
    <row r="28" spans="1:8">
      <c r="B28" t="s">
        <v>303</v>
      </c>
      <c r="C28" s="49">
        <v>3.2899999999999999E-2</v>
      </c>
      <c r="D28" s="3">
        <f>(C27/C26)+C28</f>
        <v>4.7731460674157303E-2</v>
      </c>
      <c r="G28" s="9"/>
      <c r="H28" s="6"/>
    </row>
    <row r="30" spans="1:8">
      <c r="A30">
        <v>7</v>
      </c>
      <c r="B30" s="1" t="s">
        <v>306</v>
      </c>
    </row>
    <row r="31" spans="1:8">
      <c r="B31" s="1" t="s">
        <v>307</v>
      </c>
    </row>
    <row r="33" spans="1:7">
      <c r="A33">
        <v>8</v>
      </c>
      <c r="B33" s="1" t="s">
        <v>308</v>
      </c>
    </row>
    <row r="34" spans="1:7">
      <c r="E34" s="8" t="s">
        <v>32</v>
      </c>
      <c r="F34" s="2">
        <v>38567</v>
      </c>
      <c r="G34" s="8"/>
    </row>
    <row r="35" spans="1:7">
      <c r="E35" s="8" t="s">
        <v>63</v>
      </c>
      <c r="F35" s="17">
        <v>20</v>
      </c>
      <c r="G35" s="18">
        <f>F35*4</f>
        <v>80</v>
      </c>
    </row>
    <row r="36" spans="1:7">
      <c r="E36" s="8" t="s">
        <v>33</v>
      </c>
      <c r="F36" s="2">
        <v>12883</v>
      </c>
      <c r="G36" s="8"/>
    </row>
    <row r="37" spans="1:7">
      <c r="E37" s="8"/>
      <c r="F37" s="9">
        <f>RATE(G35,0,-F36,F34)</f>
        <v>1.3800463956021915E-2</v>
      </c>
      <c r="G37" s="6">
        <f>F37*4</f>
        <v>5.520185582408766E-2</v>
      </c>
    </row>
    <row r="39" spans="1:7">
      <c r="A39">
        <v>9</v>
      </c>
      <c r="B39" t="s">
        <v>309</v>
      </c>
    </row>
    <row r="40" spans="1:7">
      <c r="B40" s="11" t="s">
        <v>60</v>
      </c>
      <c r="C40" s="8"/>
      <c r="F40" s="11"/>
      <c r="G40" s="8"/>
    </row>
    <row r="41" spans="1:7">
      <c r="B41" s="11" t="s">
        <v>310</v>
      </c>
      <c r="C41" s="8">
        <f>365/14</f>
        <v>26.071428571428573</v>
      </c>
      <c r="F41" s="11"/>
      <c r="G41" s="8"/>
    </row>
    <row r="42" spans="1:7">
      <c r="B42" s="11" t="s">
        <v>311</v>
      </c>
      <c r="C42" s="8"/>
      <c r="F42" s="11"/>
      <c r="G42" s="8"/>
    </row>
    <row r="43" spans="1:7">
      <c r="B43" s="11" t="s">
        <v>312</v>
      </c>
      <c r="C43" s="8"/>
      <c r="F43" s="11"/>
      <c r="G43" s="8"/>
    </row>
    <row r="44" spans="1:7">
      <c r="B44" s="8">
        <f>3.29%/26.0714286</f>
        <v>1.2619178068362543E-3</v>
      </c>
      <c r="C44" s="8"/>
      <c r="F44" s="8"/>
      <c r="G44" s="8"/>
    </row>
    <row r="45" spans="1:7">
      <c r="B45" s="11" t="s">
        <v>313</v>
      </c>
      <c r="C45" s="8"/>
      <c r="F45" s="11"/>
      <c r="G45" s="8"/>
    </row>
    <row r="46" spans="1:7">
      <c r="B46" s="13">
        <f>100/(1+B44)</f>
        <v>99.873967262272359</v>
      </c>
      <c r="C46" s="8"/>
      <c r="F46" s="13"/>
      <c r="G46" s="8"/>
    </row>
    <row r="47" spans="1:7">
      <c r="B47" s="12">
        <f>((100-B46)/100)*(360/91)</f>
        <v>4.9859105035110771E-3</v>
      </c>
      <c r="C47" s="8"/>
      <c r="F47" s="12"/>
      <c r="G47" s="8"/>
    </row>
    <row r="49" spans="1:6">
      <c r="A49">
        <v>10</v>
      </c>
      <c r="B49" s="1" t="s">
        <v>314</v>
      </c>
    </row>
    <row r="51" spans="1:6">
      <c r="B51" s="1"/>
      <c r="C51" s="1" t="s">
        <v>315</v>
      </c>
      <c r="D51" s="1" t="s">
        <v>316</v>
      </c>
    </row>
    <row r="52" spans="1:6">
      <c r="B52" s="1" t="s">
        <v>317</v>
      </c>
      <c r="C52" s="33">
        <v>0.15</v>
      </c>
      <c r="D52" s="33">
        <f>100%-C52</f>
        <v>0.85</v>
      </c>
    </row>
    <row r="53" spans="1:6">
      <c r="B53" s="1" t="s">
        <v>318</v>
      </c>
      <c r="C53" s="33">
        <v>0.03</v>
      </c>
      <c r="D53" s="33">
        <v>-0.02</v>
      </c>
    </row>
    <row r="54" spans="1:6">
      <c r="B54" s="1" t="s">
        <v>319</v>
      </c>
      <c r="C54" s="1">
        <v>5.44</v>
      </c>
      <c r="D54" s="1">
        <v>8.82</v>
      </c>
    </row>
    <row r="55" spans="1:6">
      <c r="F55" t="s">
        <v>324</v>
      </c>
    </row>
    <row r="56" spans="1:6">
      <c r="B56" s="1" t="s">
        <v>322</v>
      </c>
      <c r="D56" t="s">
        <v>323</v>
      </c>
    </row>
    <row r="58" spans="1:6">
      <c r="B58" s="35" t="s">
        <v>320</v>
      </c>
    </row>
    <row r="59" spans="1:6">
      <c r="B59" s="51" t="s">
        <v>321</v>
      </c>
    </row>
    <row r="60" spans="1:6">
      <c r="B60" s="48" t="e">
        <f>D56/(5.44%*8.82%)</f>
        <v>#VALUE!</v>
      </c>
    </row>
    <row r="62" spans="1:6">
      <c r="A62">
        <v>11</v>
      </c>
      <c r="B62" s="1" t="s">
        <v>325</v>
      </c>
    </row>
    <row r="63" spans="1:6">
      <c r="B63" t="s">
        <v>326</v>
      </c>
      <c r="C63">
        <v>1000</v>
      </c>
    </row>
    <row r="64" spans="1:6">
      <c r="B64" t="s">
        <v>327</v>
      </c>
      <c r="C64" s="49">
        <v>9.3100000000000002E-2</v>
      </c>
      <c r="F64" s="49"/>
    </row>
    <row r="65" spans="1:6">
      <c r="B65" t="s">
        <v>328</v>
      </c>
      <c r="C65" s="49">
        <v>1.0642499999999999</v>
      </c>
      <c r="F65" s="49"/>
    </row>
    <row r="66" spans="1:6">
      <c r="C66" s="22">
        <f>(C63*C65)+(C63*C64*(2/12))</f>
        <v>1079.7666666666667</v>
      </c>
      <c r="F66" s="22"/>
    </row>
    <row r="68" spans="1:6">
      <c r="A68">
        <v>12</v>
      </c>
      <c r="B68" s="1" t="s">
        <v>329</v>
      </c>
      <c r="C68" s="8"/>
      <c r="D68" s="28"/>
    </row>
    <row r="69" spans="1:6">
      <c r="B69" s="1" t="s">
        <v>330</v>
      </c>
    </row>
    <row r="71" spans="1:6">
      <c r="A71">
        <v>13</v>
      </c>
      <c r="B71" s="1" t="s">
        <v>331</v>
      </c>
    </row>
    <row r="72" spans="1:6">
      <c r="B72" s="1" t="s">
        <v>332</v>
      </c>
    </row>
    <row r="74" spans="1:6">
      <c r="A74">
        <v>14</v>
      </c>
      <c r="B74" s="1" t="s">
        <v>333</v>
      </c>
    </row>
    <row r="75" spans="1:6">
      <c r="B75" s="51" t="s">
        <v>334</v>
      </c>
    </row>
    <row r="76" spans="1:6">
      <c r="B76" s="52" t="s">
        <v>335</v>
      </c>
    </row>
    <row r="77" spans="1:6">
      <c r="B77" s="1" t="s">
        <v>66</v>
      </c>
      <c r="C77" s="1">
        <v>100.4</v>
      </c>
    </row>
    <row r="78" spans="1:6">
      <c r="B78" s="1" t="s">
        <v>32</v>
      </c>
      <c r="C78" s="1">
        <v>1000</v>
      </c>
    </row>
    <row r="79" spans="1:6">
      <c r="B79" s="1" t="s">
        <v>33</v>
      </c>
      <c r="C79" s="1">
        <v>868.04</v>
      </c>
    </row>
    <row r="80" spans="1:6">
      <c r="B80" s="1" t="s">
        <v>63</v>
      </c>
      <c r="C80" s="1">
        <v>22</v>
      </c>
    </row>
    <row r="81" spans="1:5">
      <c r="B81" s="8" t="s">
        <v>148</v>
      </c>
      <c r="C81" s="53">
        <v>0.1275</v>
      </c>
      <c r="D81" t="s">
        <v>336</v>
      </c>
      <c r="E81" s="3">
        <v>0.11550000000000001</v>
      </c>
    </row>
    <row r="83" spans="1:5">
      <c r="A83">
        <v>15</v>
      </c>
      <c r="B83" s="1" t="s">
        <v>337</v>
      </c>
    </row>
    <row r="84" spans="1:5">
      <c r="B84" s="6">
        <f>0.0578/(1-0.4)</f>
        <v>9.6333333333333326E-2</v>
      </c>
    </row>
    <row r="86" spans="1:5">
      <c r="A86">
        <v>16</v>
      </c>
      <c r="B86" s="1" t="s">
        <v>338</v>
      </c>
    </row>
    <row r="87" spans="1:5">
      <c r="B87" s="8" t="s">
        <v>135</v>
      </c>
      <c r="C87" s="9">
        <v>9.0499999999999997E-2</v>
      </c>
    </row>
    <row r="88" spans="1:5">
      <c r="B88" s="8" t="s">
        <v>145</v>
      </c>
      <c r="C88" s="8">
        <v>7</v>
      </c>
      <c r="D88" s="1"/>
    </row>
    <row r="89" spans="1:5">
      <c r="B89" s="8" t="s">
        <v>66</v>
      </c>
      <c r="C89" s="8">
        <v>92.4</v>
      </c>
      <c r="D89" s="1"/>
    </row>
    <row r="90" spans="1:5">
      <c r="B90" s="8" t="s">
        <v>32</v>
      </c>
      <c r="C90" s="8">
        <v>1000</v>
      </c>
      <c r="D90" s="1"/>
    </row>
    <row r="91" spans="1:5">
      <c r="B91" s="8" t="s">
        <v>136</v>
      </c>
      <c r="C91" s="4">
        <f>PV(C87,C88,C89,C90)</f>
        <v>-1009.5465881799503</v>
      </c>
      <c r="D91" s="1"/>
    </row>
    <row r="92" spans="1:5">
      <c r="B92" s="29"/>
      <c r="C92" s="8"/>
      <c r="D92" s="27"/>
    </row>
    <row r="93" spans="1:5">
      <c r="A93">
        <v>17</v>
      </c>
      <c r="B93" s="1" t="s">
        <v>339</v>
      </c>
    </row>
    <row r="94" spans="1:5">
      <c r="B94" s="8" t="s">
        <v>340</v>
      </c>
    </row>
    <row r="96" spans="1:5">
      <c r="A96">
        <v>18</v>
      </c>
      <c r="B96" s="1" t="s">
        <v>341</v>
      </c>
    </row>
    <row r="98" spans="2:2">
      <c r="B98" s="1" t="s">
        <v>119</v>
      </c>
    </row>
    <row r="100" spans="2:2">
      <c r="B100" s="1" t="s">
        <v>120</v>
      </c>
    </row>
    <row r="102" spans="2:2">
      <c r="B102" s="1" t="s">
        <v>121</v>
      </c>
    </row>
    <row r="104" spans="2:2">
      <c r="B104" s="1" t="s">
        <v>122</v>
      </c>
    </row>
    <row r="106" spans="2:2">
      <c r="B106" s="1" t="s">
        <v>342</v>
      </c>
    </row>
    <row r="108" spans="2:2">
      <c r="B108" s="1" t="s">
        <v>343</v>
      </c>
    </row>
    <row r="110" spans="2:2">
      <c r="B110" s="1" t="s">
        <v>344</v>
      </c>
    </row>
    <row r="111" spans="2:2">
      <c r="B111" s="1" t="s">
        <v>345</v>
      </c>
    </row>
    <row r="112" spans="2:2">
      <c r="B112" s="1" t="s">
        <v>127</v>
      </c>
    </row>
    <row r="113" spans="1:5">
      <c r="B113" s="1" t="s">
        <v>346</v>
      </c>
    </row>
    <row r="115" spans="1:5">
      <c r="A115">
        <v>19</v>
      </c>
      <c r="B115" s="1" t="s">
        <v>347</v>
      </c>
    </row>
    <row r="116" spans="1:5">
      <c r="B116">
        <v>200</v>
      </c>
    </row>
    <row r="117" spans="1:5">
      <c r="B117">
        <v>27</v>
      </c>
    </row>
    <row r="118" spans="1:5">
      <c r="B118" s="1">
        <v>26.18</v>
      </c>
    </row>
    <row r="119" spans="1:5">
      <c r="B119" s="54">
        <f>B116*(B117-B118)</f>
        <v>164.00000000000006</v>
      </c>
    </row>
    <row r="121" spans="1:5">
      <c r="A121">
        <v>20</v>
      </c>
      <c r="B121" s="1" t="s">
        <v>203</v>
      </c>
    </row>
    <row r="123" spans="1:5">
      <c r="B123" s="35" t="s">
        <v>204</v>
      </c>
      <c r="C123" s="35" t="s">
        <v>205</v>
      </c>
      <c r="D123" s="35" t="s">
        <v>206</v>
      </c>
    </row>
    <row r="124" spans="1:5">
      <c r="B124" s="1" t="s">
        <v>207</v>
      </c>
      <c r="C124" s="33">
        <v>0.16</v>
      </c>
      <c r="D124" s="36">
        <v>5.7000000000000002E-2</v>
      </c>
      <c r="E124" s="50">
        <f>C124*D124</f>
        <v>9.1200000000000014E-3</v>
      </c>
    </row>
    <row r="125" spans="1:5">
      <c r="B125" s="37" t="s">
        <v>208</v>
      </c>
      <c r="C125" s="33">
        <v>0.41</v>
      </c>
      <c r="D125" s="36">
        <v>3.6999999999999998E-2</v>
      </c>
      <c r="E125" s="50">
        <f t="shared" ref="E125:E126" si="0">C125*D125</f>
        <v>1.5169999999999998E-2</v>
      </c>
    </row>
    <row r="126" spans="1:5">
      <c r="B126" s="1" t="s">
        <v>209</v>
      </c>
      <c r="C126" s="36">
        <f>100%-C124-C125</f>
        <v>0.43</v>
      </c>
      <c r="D126" s="36">
        <v>-3.5000000000000003E-2</v>
      </c>
      <c r="E126" s="50">
        <f t="shared" si="0"/>
        <v>-1.5050000000000001E-2</v>
      </c>
    </row>
    <row r="127" spans="1:5">
      <c r="E127" s="3">
        <f>SUM(E124:E126)</f>
        <v>9.2399999999999982E-3</v>
      </c>
    </row>
    <row r="129" spans="1:4">
      <c r="A129">
        <v>21</v>
      </c>
      <c r="B129" s="1" t="s">
        <v>314</v>
      </c>
    </row>
    <row r="131" spans="1:4">
      <c r="B131" s="1"/>
      <c r="C131" s="1" t="s">
        <v>315</v>
      </c>
      <c r="D131" s="1" t="s">
        <v>316</v>
      </c>
    </row>
    <row r="132" spans="1:4">
      <c r="B132" s="1" t="s">
        <v>317</v>
      </c>
      <c r="C132" s="33">
        <v>0.43</v>
      </c>
      <c r="D132" s="36">
        <f>100%-C132</f>
        <v>0.57000000000000006</v>
      </c>
    </row>
    <row r="133" spans="1:4">
      <c r="B133" s="1" t="s">
        <v>318</v>
      </c>
      <c r="C133" s="36">
        <v>4.6899999999999997E-2</v>
      </c>
      <c r="D133" s="36">
        <v>9.74E-2</v>
      </c>
    </row>
    <row r="134" spans="1:4">
      <c r="B134" s="1" t="s">
        <v>319</v>
      </c>
      <c r="C134" s="1">
        <v>9</v>
      </c>
      <c r="D134" s="1">
        <v>13.9</v>
      </c>
    </row>
    <row r="136" spans="1:4">
      <c r="B136" s="1" t="s">
        <v>322</v>
      </c>
      <c r="D136" t="s">
        <v>349</v>
      </c>
    </row>
    <row r="138" spans="1:4">
      <c r="B138" s="35" t="s">
        <v>348</v>
      </c>
    </row>
    <row r="139" spans="1:4">
      <c r="B139" t="e">
        <f>(C132*C132*C134*C134)+(D132*D132*D134*D134)+(2*C132*D132*C134*D134*D136)</f>
        <v>#VALUE!</v>
      </c>
      <c r="C139" s="2" t="e">
        <f>SQRT(B139)</f>
        <v>#VALUE!</v>
      </c>
    </row>
    <row r="140" spans="1:4">
      <c r="B140">
        <f>(0.43*0.43)</f>
        <v>0.18489999999999998</v>
      </c>
      <c r="C140">
        <f>0.09^2</f>
        <v>8.0999999999999996E-3</v>
      </c>
      <c r="D140">
        <f>B140*C140</f>
        <v>1.4976899999999999E-3</v>
      </c>
    </row>
    <row r="141" spans="1:4">
      <c r="B141">
        <f>0.57^2</f>
        <v>0.32489999999999997</v>
      </c>
      <c r="C141">
        <f>0.139^2</f>
        <v>1.9321000000000005E-2</v>
      </c>
      <c r="D141">
        <f>B141*C141</f>
        <v>6.2773929000000013E-3</v>
      </c>
    </row>
    <row r="142" spans="1:4">
      <c r="B142" s="17">
        <f>(2*0.43*0.57*9*13.9*0.31)</f>
        <v>19.010446200000001</v>
      </c>
    </row>
    <row r="143" spans="1:4">
      <c r="B143">
        <f>B142+D140+D141</f>
        <v>19.018221282900001</v>
      </c>
    </row>
    <row r="144" spans="1:4">
      <c r="B144" s="6">
        <f>SQRT(9.02%)</f>
        <v>0.30033314835362412</v>
      </c>
    </row>
    <row r="146" spans="1:6">
      <c r="A146">
        <v>22</v>
      </c>
      <c r="B146" s="1" t="s">
        <v>47</v>
      </c>
    </row>
    <row r="148" spans="1:6">
      <c r="B148" s="55" t="s">
        <v>48</v>
      </c>
      <c r="C148" s="55" t="s">
        <v>50</v>
      </c>
      <c r="D148" s="55" t="s">
        <v>51</v>
      </c>
      <c r="E148" s="55"/>
      <c r="F148" s="8"/>
    </row>
    <row r="149" spans="1:6">
      <c r="B149" s="55" t="s">
        <v>49</v>
      </c>
      <c r="C149" s="55">
        <v>28</v>
      </c>
      <c r="D149" s="55">
        <v>99.683999999999997</v>
      </c>
      <c r="E149" s="55"/>
      <c r="F149" s="8"/>
    </row>
    <row r="150" spans="1:6">
      <c r="B150" s="55"/>
      <c r="C150" s="55" t="s">
        <v>52</v>
      </c>
      <c r="D150" s="56">
        <v>4.0629999999999999E-2</v>
      </c>
      <c r="E150" s="56"/>
      <c r="F150" s="19"/>
    </row>
    <row r="152" spans="1:6">
      <c r="A152">
        <v>23</v>
      </c>
      <c r="B152" s="1" t="s">
        <v>350</v>
      </c>
    </row>
    <row r="153" spans="1:6">
      <c r="B153" s="55" t="s">
        <v>351</v>
      </c>
    </row>
    <row r="155" spans="1:6">
      <c r="A155">
        <v>24</v>
      </c>
      <c r="B155" s="1" t="s">
        <v>199</v>
      </c>
    </row>
    <row r="157" spans="1:6">
      <c r="B157" s="1" t="s">
        <v>200</v>
      </c>
      <c r="C157" s="1" t="s">
        <v>201</v>
      </c>
    </row>
    <row r="158" spans="1:6">
      <c r="B158" s="1">
        <v>1</v>
      </c>
      <c r="C158" s="33">
        <v>0.08</v>
      </c>
      <c r="D158" s="44">
        <f>C158-$C$163</f>
        <v>2.3999999999999994E-2</v>
      </c>
      <c r="E158" s="57">
        <f>2^2</f>
        <v>4</v>
      </c>
    </row>
    <row r="159" spans="1:6">
      <c r="B159" s="1">
        <v>2</v>
      </c>
      <c r="C159" s="33">
        <v>0.11</v>
      </c>
      <c r="D159" s="44">
        <f t="shared" ref="D159:D162" si="1">C159-$C$163</f>
        <v>5.3999999999999992E-2</v>
      </c>
      <c r="E159" s="57">
        <v>25</v>
      </c>
    </row>
    <row r="160" spans="1:6">
      <c r="B160" s="1">
        <v>3</v>
      </c>
      <c r="C160" s="33">
        <v>0.1</v>
      </c>
      <c r="D160" s="44">
        <f t="shared" si="1"/>
        <v>4.3999999999999997E-2</v>
      </c>
      <c r="E160" s="57">
        <v>16</v>
      </c>
    </row>
    <row r="161" spans="1:7">
      <c r="B161" s="1">
        <v>4</v>
      </c>
      <c r="C161" s="33">
        <v>-0.09</v>
      </c>
      <c r="D161" s="44">
        <f t="shared" si="1"/>
        <v>-0.14600000000000002</v>
      </c>
      <c r="E161" s="57">
        <f>15*15</f>
        <v>225</v>
      </c>
    </row>
    <row r="162" spans="1:7">
      <c r="B162" s="1">
        <v>5</v>
      </c>
      <c r="C162" s="33">
        <v>0.08</v>
      </c>
      <c r="D162" s="44">
        <f t="shared" si="1"/>
        <v>2.3999999999999994E-2</v>
      </c>
      <c r="E162" s="57">
        <v>4</v>
      </c>
    </row>
    <row r="163" spans="1:7">
      <c r="B163" t="s">
        <v>352</v>
      </c>
      <c r="C163" s="44">
        <f>AVERAGE(C158:C162)</f>
        <v>5.6000000000000008E-2</v>
      </c>
      <c r="E163">
        <f>SUM(E158:E162)</f>
        <v>274</v>
      </c>
      <c r="F163">
        <f>E163/4</f>
        <v>68.5</v>
      </c>
      <c r="G163">
        <f>SQRT(F163)</f>
        <v>8.2764726786234242</v>
      </c>
    </row>
    <row r="164" spans="1:7">
      <c r="B164" s="1" t="s">
        <v>202</v>
      </c>
    </row>
    <row r="166" spans="1:7">
      <c r="A166">
        <v>25</v>
      </c>
      <c r="B166" s="1" t="s">
        <v>353</v>
      </c>
    </row>
    <row r="168" spans="1:7">
      <c r="B168" s="1" t="s">
        <v>354</v>
      </c>
      <c r="C168" s="1" t="s">
        <v>355</v>
      </c>
      <c r="D168" s="1" t="s">
        <v>356</v>
      </c>
      <c r="E168" s="1" t="s">
        <v>357</v>
      </c>
      <c r="F168" s="1" t="s">
        <v>363</v>
      </c>
    </row>
    <row r="169" spans="1:7">
      <c r="B169" s="1" t="s">
        <v>358</v>
      </c>
      <c r="C169" s="33">
        <v>0.3</v>
      </c>
      <c r="D169" s="1">
        <v>2</v>
      </c>
      <c r="E169" s="33">
        <v>0.05</v>
      </c>
      <c r="F169">
        <f>C169*D169</f>
        <v>0.6</v>
      </c>
    </row>
    <row r="170" spans="1:7">
      <c r="B170" s="1" t="s">
        <v>359</v>
      </c>
      <c r="C170" s="33">
        <v>0.12</v>
      </c>
      <c r="D170" s="1">
        <v>1.05</v>
      </c>
      <c r="E170" s="33">
        <v>0.05</v>
      </c>
      <c r="F170">
        <f t="shared" ref="F170:F172" si="2">C170*D170</f>
        <v>0.126</v>
      </c>
    </row>
    <row r="171" spans="1:7">
      <c r="B171" s="1" t="s">
        <v>360</v>
      </c>
      <c r="C171" s="33">
        <v>0.06</v>
      </c>
      <c r="D171" s="1">
        <v>1.26</v>
      </c>
      <c r="E171" s="33">
        <v>0.05</v>
      </c>
      <c r="F171">
        <f t="shared" si="2"/>
        <v>7.5600000000000001E-2</v>
      </c>
    </row>
    <row r="172" spans="1:7">
      <c r="B172" s="1" t="s">
        <v>361</v>
      </c>
      <c r="C172" s="36">
        <f>100%-C171-C170-C169</f>
        <v>0.52</v>
      </c>
      <c r="D172" s="1">
        <v>1.25</v>
      </c>
      <c r="E172" s="33">
        <v>7.0000000000000007E-2</v>
      </c>
      <c r="F172">
        <f t="shared" si="2"/>
        <v>0.65</v>
      </c>
    </row>
    <row r="173" spans="1:7">
      <c r="F173" s="23">
        <f>SUM(F169:F172)</f>
        <v>1.4516</v>
      </c>
    </row>
    <row r="174" spans="1:7">
      <c r="B174" s="35" t="s">
        <v>362</v>
      </c>
    </row>
  </sheetData>
  <pageMargins left="0.75" right="0.75" top="1" bottom="1" header="0.5" footer="0.5"/>
  <pageSetup orientation="portrait" horizontalDpi="4294967292" verticalDpi="4294967292"/>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Sheet1</vt:lpstr>
      <vt:lpstr>final</vt:lpstr>
    </vt:vector>
  </TitlesOfParts>
  <Company>Kiel</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Kiel Johnson</dc:creator>
  <cp:lastModifiedBy>Kiel Johnson</cp:lastModifiedBy>
  <dcterms:created xsi:type="dcterms:W3CDTF">2017-05-29T02:19:23Z</dcterms:created>
  <dcterms:modified xsi:type="dcterms:W3CDTF">2017-07-16T16:13:00Z</dcterms:modified>
</cp:coreProperties>
</file>